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20" yWindow="-120" windowWidth="20730" windowHeight="11160" tabRatio="792" firstSheet="2" activeTab="2"/>
  </bookViews>
  <sheets>
    <sheet name="Chart1" sheetId="14" state="hidden" r:id="rId1"/>
    <sheet name="Sheet1" sheetId="15" state="hidden" r:id="rId2"/>
    <sheet name="Estimate FE" sheetId="21" r:id="rId3"/>
  </sheets>
  <definedNames>
    <definedName name="_xlnm.Print_Area" localSheetId="2">'Estimate FE'!$A$1:$P$174</definedName>
  </definedNames>
  <calcPr calcId="124519"/>
</workbook>
</file>

<file path=xl/calcChain.xml><?xml version="1.0" encoding="utf-8"?>
<calcChain xmlns="http://schemas.openxmlformats.org/spreadsheetml/2006/main">
  <c r="A164" i="21"/>
  <c r="A163"/>
  <c r="A162"/>
  <c r="A160"/>
  <c r="A156"/>
  <c r="A155"/>
  <c r="A152"/>
  <c r="A151"/>
  <c r="A145"/>
  <c r="A144"/>
  <c r="A143"/>
  <c r="A141"/>
  <c r="A138"/>
  <c r="A137"/>
  <c r="A135"/>
  <c r="A134"/>
  <c r="A132"/>
  <c r="A131"/>
  <c r="A129"/>
  <c r="A128"/>
  <c r="A127"/>
  <c r="A120"/>
  <c r="A119"/>
  <c r="A110"/>
  <c r="A109"/>
  <c r="A107"/>
  <c r="A106"/>
  <c r="A102"/>
  <c r="A101"/>
  <c r="A96"/>
  <c r="A95"/>
  <c r="A89"/>
  <c r="A88"/>
  <c r="A82"/>
  <c r="A81"/>
  <c r="A77"/>
  <c r="A76"/>
  <c r="A63"/>
  <c r="A62"/>
  <c r="A57"/>
  <c r="A56"/>
  <c r="A44"/>
  <c r="A43"/>
  <c r="A38"/>
  <c r="A37"/>
  <c r="A34"/>
  <c r="A9"/>
  <c r="A8"/>
  <c r="A7"/>
  <c r="A165" l="1"/>
  <c r="A166"/>
  <c r="A167" s="1"/>
  <c r="A146"/>
  <c r="P6"/>
  <c r="P170" s="1"/>
  <c r="P142"/>
  <c r="P161"/>
  <c r="N170"/>
  <c r="I83"/>
  <c r="I115"/>
  <c r="I116"/>
  <c r="I100"/>
  <c r="I99"/>
  <c r="I98"/>
  <c r="I97"/>
  <c r="I94"/>
  <c r="I93"/>
  <c r="I92"/>
  <c r="I91"/>
  <c r="I90"/>
  <c r="A147" l="1"/>
  <c r="I139"/>
  <c r="A148" l="1"/>
  <c r="A149" s="1"/>
  <c r="I145"/>
  <c r="I158"/>
  <c r="I159"/>
  <c r="I157"/>
  <c r="A150" l="1"/>
  <c r="I118"/>
  <c r="J133"/>
  <c r="H133"/>
  <c r="I122"/>
  <c r="I123"/>
  <c r="I104"/>
  <c r="I105"/>
  <c r="J36"/>
  <c r="H36"/>
  <c r="J59"/>
  <c r="H59"/>
  <c r="J58"/>
  <c r="H58"/>
  <c r="H50"/>
  <c r="I50"/>
  <c r="J50"/>
  <c r="H51"/>
  <c r="I51" s="1"/>
  <c r="J51"/>
  <c r="H52"/>
  <c r="I52"/>
  <c r="J52"/>
  <c r="H53"/>
  <c r="I53"/>
  <c r="J53"/>
  <c r="H54"/>
  <c r="I54" s="1"/>
  <c r="J54"/>
  <c r="H55"/>
  <c r="I55" s="1"/>
  <c r="J55"/>
  <c r="J49"/>
  <c r="H49"/>
  <c r="H46"/>
  <c r="I46" s="1"/>
  <c r="J46"/>
  <c r="H47"/>
  <c r="I47" s="1"/>
  <c r="J47"/>
  <c r="H48"/>
  <c r="I48"/>
  <c r="J48"/>
  <c r="J45"/>
  <c r="H45"/>
  <c r="J42"/>
  <c r="H42"/>
  <c r="J41"/>
  <c r="H41"/>
  <c r="J40"/>
  <c r="H40"/>
  <c r="J39"/>
  <c r="H39"/>
  <c r="A153" l="1"/>
  <c r="A154" s="1"/>
  <c r="A157"/>
  <c r="A158" s="1"/>
  <c r="K167"/>
  <c r="K166"/>
  <c r="K165"/>
  <c r="K164"/>
  <c r="K159"/>
  <c r="K158"/>
  <c r="K157"/>
  <c r="K154"/>
  <c r="K153"/>
  <c r="K145"/>
  <c r="K133"/>
  <c r="K130"/>
  <c r="K126"/>
  <c r="K125"/>
  <c r="K124"/>
  <c r="K123"/>
  <c r="K122"/>
  <c r="K121"/>
  <c r="K118"/>
  <c r="K117"/>
  <c r="K116"/>
  <c r="K115"/>
  <c r="K114"/>
  <c r="K113"/>
  <c r="K112"/>
  <c r="K111"/>
  <c r="K108"/>
  <c r="K105"/>
  <c r="K104"/>
  <c r="K103"/>
  <c r="K100"/>
  <c r="K99"/>
  <c r="K98"/>
  <c r="K97"/>
  <c r="K94"/>
  <c r="K93"/>
  <c r="K92"/>
  <c r="K91"/>
  <c r="K90"/>
  <c r="K87"/>
  <c r="K86"/>
  <c r="K85"/>
  <c r="K84"/>
  <c r="K83"/>
  <c r="K80"/>
  <c r="K79"/>
  <c r="K78"/>
  <c r="K75"/>
  <c r="K74"/>
  <c r="K73"/>
  <c r="K72"/>
  <c r="K71"/>
  <c r="K70"/>
  <c r="K69"/>
  <c r="K68"/>
  <c r="K67"/>
  <c r="K66"/>
  <c r="K65"/>
  <c r="K64"/>
  <c r="K61"/>
  <c r="K60"/>
  <c r="K59"/>
  <c r="K58"/>
  <c r="K55"/>
  <c r="K54"/>
  <c r="K53"/>
  <c r="K52"/>
  <c r="K51"/>
  <c r="K50"/>
  <c r="K49"/>
  <c r="K48"/>
  <c r="K47"/>
  <c r="K46"/>
  <c r="K45"/>
  <c r="K42"/>
  <c r="K41"/>
  <c r="K40"/>
  <c r="K39"/>
  <c r="K36"/>
  <c r="K35"/>
  <c r="K28"/>
  <c r="K22"/>
  <c r="K16"/>
  <c r="K10"/>
  <c r="A168"/>
  <c r="D27"/>
  <c r="F27" s="1"/>
  <c r="D26"/>
  <c r="F26" s="1"/>
  <c r="D25"/>
  <c r="F25" s="1"/>
  <c r="F24"/>
  <c r="D24"/>
  <c r="D23"/>
  <c r="F23" s="1"/>
  <c r="F22"/>
  <c r="I22" s="1"/>
  <c r="F55"/>
  <c r="F45"/>
  <c r="I45" s="1"/>
  <c r="F140"/>
  <c r="K140"/>
  <c r="D33"/>
  <c r="F33" s="1"/>
  <c r="D32"/>
  <c r="F32" s="1"/>
  <c r="D31"/>
  <c r="F31" s="1"/>
  <c r="D30"/>
  <c r="F30" s="1"/>
  <c r="D29"/>
  <c r="F29" s="1"/>
  <c r="F28"/>
  <c r="I28" s="1"/>
  <c r="D21"/>
  <c r="F21" s="1"/>
  <c r="D20"/>
  <c r="F20" s="1"/>
  <c r="D19"/>
  <c r="F19" s="1"/>
  <c r="D18"/>
  <c r="F18" s="1"/>
  <c r="D17"/>
  <c r="F17" s="1"/>
  <c r="F16"/>
  <c r="L16" s="1"/>
  <c r="F35"/>
  <c r="L35" s="1"/>
  <c r="F133"/>
  <c r="I133" s="1"/>
  <c r="F130"/>
  <c r="L130" s="1"/>
  <c r="K139"/>
  <c r="F139"/>
  <c r="F42"/>
  <c r="I42" s="1"/>
  <c r="F41"/>
  <c r="I41" s="1"/>
  <c r="F40"/>
  <c r="L40" s="1"/>
  <c r="F39"/>
  <c r="L39" s="1"/>
  <c r="F48"/>
  <c r="F49"/>
  <c r="I49" s="1"/>
  <c r="F50"/>
  <c r="F51"/>
  <c r="F52"/>
  <c r="F53"/>
  <c r="F54"/>
  <c r="F61"/>
  <c r="L61" s="1"/>
  <c r="F60"/>
  <c r="L60" s="1"/>
  <c r="F59"/>
  <c r="I59" s="1"/>
  <c r="F58"/>
  <c r="I58" s="1"/>
  <c r="F47"/>
  <c r="F46"/>
  <c r="L46" s="1"/>
  <c r="F36"/>
  <c r="L36" s="1"/>
  <c r="D15"/>
  <c r="F15" s="1"/>
  <c r="D14"/>
  <c r="F14" s="1"/>
  <c r="D13"/>
  <c r="F13" s="1"/>
  <c r="D12"/>
  <c r="F12" s="1"/>
  <c r="D11"/>
  <c r="F11" s="1"/>
  <c r="F10"/>
  <c r="L10" s="1"/>
  <c r="F87"/>
  <c r="L87" s="1"/>
  <c r="F86"/>
  <c r="L86" s="1"/>
  <c r="F85"/>
  <c r="I85" s="1"/>
  <c r="F84"/>
  <c r="I84" s="1"/>
  <c r="F83"/>
  <c r="L83" s="1"/>
  <c r="F91"/>
  <c r="F92"/>
  <c r="F93"/>
  <c r="F94"/>
  <c r="F97"/>
  <c r="F98"/>
  <c r="F99"/>
  <c r="F100"/>
  <c r="F103"/>
  <c r="F104"/>
  <c r="F105"/>
  <c r="F108"/>
  <c r="L108" s="1"/>
  <c r="F111"/>
  <c r="F112"/>
  <c r="I112" s="1"/>
  <c r="F113"/>
  <c r="F114"/>
  <c r="L114" s="1"/>
  <c r="F115"/>
  <c r="F116"/>
  <c r="F117"/>
  <c r="F118"/>
  <c r="L118" s="1"/>
  <c r="F121"/>
  <c r="F122"/>
  <c r="F123"/>
  <c r="F124"/>
  <c r="L124" s="1"/>
  <c r="F125"/>
  <c r="F126"/>
  <c r="F90"/>
  <c r="L90" s="1"/>
  <c r="A159" l="1"/>
  <c r="L22"/>
  <c r="M22" s="1"/>
  <c r="N22" s="1"/>
  <c r="L55"/>
  <c r="M55" s="1"/>
  <c r="L45"/>
  <c r="M45" s="1"/>
  <c r="N45" s="1"/>
  <c r="I140"/>
  <c r="L140"/>
  <c r="M140" s="1"/>
  <c r="L28"/>
  <c r="M28" s="1"/>
  <c r="N28" s="1"/>
  <c r="I35"/>
  <c r="M16"/>
  <c r="I16"/>
  <c r="M35"/>
  <c r="M130"/>
  <c r="I130"/>
  <c r="L133"/>
  <c r="M133" s="1"/>
  <c r="N133" s="1"/>
  <c r="M40"/>
  <c r="M39"/>
  <c r="L139"/>
  <c r="M139" s="1"/>
  <c r="N139" s="1"/>
  <c r="I39"/>
  <c r="L41"/>
  <c r="M41" s="1"/>
  <c r="N41" s="1"/>
  <c r="L49"/>
  <c r="M49" s="1"/>
  <c r="N49" s="1"/>
  <c r="M10"/>
  <c r="M61"/>
  <c r="L53"/>
  <c r="M53" s="1"/>
  <c r="N53" s="1"/>
  <c r="I40"/>
  <c r="L42"/>
  <c r="M42" s="1"/>
  <c r="N42" s="1"/>
  <c r="M60"/>
  <c r="L54"/>
  <c r="M54" s="1"/>
  <c r="N54" s="1"/>
  <c r="L50"/>
  <c r="M50" s="1"/>
  <c r="N50" s="1"/>
  <c r="L51"/>
  <c r="M51" s="1"/>
  <c r="N51" s="1"/>
  <c r="L52"/>
  <c r="M52" s="1"/>
  <c r="N52" s="1"/>
  <c r="L48"/>
  <c r="M48" s="1"/>
  <c r="N48" s="1"/>
  <c r="I10"/>
  <c r="L58"/>
  <c r="M58" s="1"/>
  <c r="N58" s="1"/>
  <c r="I60"/>
  <c r="L59"/>
  <c r="M59" s="1"/>
  <c r="N59" s="1"/>
  <c r="I61"/>
  <c r="L47"/>
  <c r="M47" s="1"/>
  <c r="M36"/>
  <c r="I36"/>
  <c r="M46"/>
  <c r="M108"/>
  <c r="M87"/>
  <c r="I114"/>
  <c r="L112"/>
  <c r="M112" s="1"/>
  <c r="N112" s="1"/>
  <c r="M114"/>
  <c r="L84"/>
  <c r="M84" s="1"/>
  <c r="N84" s="1"/>
  <c r="I108"/>
  <c r="L104"/>
  <c r="M104" s="1"/>
  <c r="N104" s="1"/>
  <c r="M83"/>
  <c r="M86"/>
  <c r="I86"/>
  <c r="L100"/>
  <c r="M100" s="1"/>
  <c r="N100" s="1"/>
  <c r="L85"/>
  <c r="M85" s="1"/>
  <c r="N85" s="1"/>
  <c r="I87"/>
  <c r="L98"/>
  <c r="M98" s="1"/>
  <c r="N98" s="1"/>
  <c r="L94"/>
  <c r="M94" s="1"/>
  <c r="N94" s="1"/>
  <c r="L92"/>
  <c r="M92" s="1"/>
  <c r="I126"/>
  <c r="L126"/>
  <c r="M126" s="1"/>
  <c r="M124"/>
  <c r="L122"/>
  <c r="M122" s="1"/>
  <c r="M118"/>
  <c r="L116"/>
  <c r="M116" s="1"/>
  <c r="I124"/>
  <c r="L93"/>
  <c r="M93" s="1"/>
  <c r="I117"/>
  <c r="L117"/>
  <c r="M117" s="1"/>
  <c r="L123"/>
  <c r="M123" s="1"/>
  <c r="L99"/>
  <c r="M99" s="1"/>
  <c r="L105"/>
  <c r="M105" s="1"/>
  <c r="I113"/>
  <c r="L113"/>
  <c r="M113" s="1"/>
  <c r="I125"/>
  <c r="I121"/>
  <c r="I111"/>
  <c r="I103"/>
  <c r="L125"/>
  <c r="M125" s="1"/>
  <c r="L121"/>
  <c r="M121" s="1"/>
  <c r="L115"/>
  <c r="M115" s="1"/>
  <c r="L111"/>
  <c r="M111" s="1"/>
  <c r="L103"/>
  <c r="M103" s="1"/>
  <c r="L97"/>
  <c r="M97" s="1"/>
  <c r="L91"/>
  <c r="M91" s="1"/>
  <c r="M90"/>
  <c r="N55" l="1"/>
  <c r="N140"/>
  <c r="N40"/>
  <c r="N35"/>
  <c r="N130"/>
  <c r="N16"/>
  <c r="N39"/>
  <c r="N10"/>
  <c r="N108"/>
  <c r="N47"/>
  <c r="N61"/>
  <c r="N60"/>
  <c r="N46"/>
  <c r="N36"/>
  <c r="N87"/>
  <c r="N86"/>
  <c r="N114"/>
  <c r="N83"/>
  <c r="N121"/>
  <c r="N126"/>
  <c r="N111"/>
  <c r="N93"/>
  <c r="N116"/>
  <c r="N97"/>
  <c r="N91"/>
  <c r="N115"/>
  <c r="N123"/>
  <c r="N118"/>
  <c r="N122"/>
  <c r="N92"/>
  <c r="N113"/>
  <c r="N105"/>
  <c r="N99"/>
  <c r="N124"/>
  <c r="N90"/>
  <c r="N103"/>
  <c r="N125"/>
  <c r="N117"/>
  <c r="K136"/>
  <c r="F167" l="1"/>
  <c r="F166"/>
  <c r="F165"/>
  <c r="F164"/>
  <c r="F159"/>
  <c r="F158"/>
  <c r="F157"/>
  <c r="F154"/>
  <c r="F153"/>
  <c r="I153" s="1"/>
  <c r="D150"/>
  <c r="F150" s="1"/>
  <c r="D149"/>
  <c r="F149" s="1"/>
  <c r="D148"/>
  <c r="F148" s="1"/>
  <c r="D147"/>
  <c r="F147" s="1"/>
  <c r="D146"/>
  <c r="F146" s="1"/>
  <c r="F145"/>
  <c r="F136"/>
  <c r="F80"/>
  <c r="F79"/>
  <c r="F78"/>
  <c r="F75"/>
  <c r="F74"/>
  <c r="F73"/>
  <c r="F72"/>
  <c r="F71"/>
  <c r="F70"/>
  <c r="F69"/>
  <c r="F68"/>
  <c r="F67"/>
  <c r="F66"/>
  <c r="F65"/>
  <c r="F64"/>
  <c r="I167" l="1"/>
  <c r="I165"/>
  <c r="L164"/>
  <c r="M164" s="1"/>
  <c r="L157"/>
  <c r="M157" s="1"/>
  <c r="L145"/>
  <c r="M145" s="1"/>
  <c r="L154"/>
  <c r="M154" s="1"/>
  <c r="I154"/>
  <c r="L159"/>
  <c r="M159" s="1"/>
  <c r="L166"/>
  <c r="M166" s="1"/>
  <c r="I166"/>
  <c r="L70"/>
  <c r="M70" s="1"/>
  <c r="N70" s="1"/>
  <c r="L67"/>
  <c r="M67" s="1"/>
  <c r="N67" s="1"/>
  <c r="L80"/>
  <c r="M80" s="1"/>
  <c r="N80" s="1"/>
  <c r="L75"/>
  <c r="M75" s="1"/>
  <c r="N75" s="1"/>
  <c r="I164"/>
  <c r="L165"/>
  <c r="M165" s="1"/>
  <c r="L167"/>
  <c r="M167" s="1"/>
  <c r="L66"/>
  <c r="M66" s="1"/>
  <c r="N66" s="1"/>
  <c r="L74"/>
  <c r="M74" s="1"/>
  <c r="N74" s="1"/>
  <c r="L71"/>
  <c r="M71" s="1"/>
  <c r="N71" s="1"/>
  <c r="L136"/>
  <c r="M136" s="1"/>
  <c r="N136" s="1"/>
  <c r="L153"/>
  <c r="M153" s="1"/>
  <c r="N153" s="1"/>
  <c r="L158"/>
  <c r="M158" s="1"/>
  <c r="N158" s="1"/>
  <c r="L65"/>
  <c r="M65" s="1"/>
  <c r="N65" s="1"/>
  <c r="L69"/>
  <c r="M69" s="1"/>
  <c r="N69" s="1"/>
  <c r="L73"/>
  <c r="M73" s="1"/>
  <c r="N73" s="1"/>
  <c r="L79"/>
  <c r="M79" s="1"/>
  <c r="N79" s="1"/>
  <c r="L64"/>
  <c r="M64" s="1"/>
  <c r="N64" s="1"/>
  <c r="L68"/>
  <c r="M68" s="1"/>
  <c r="N68" s="1"/>
  <c r="L72"/>
  <c r="M72" s="1"/>
  <c r="N72" s="1"/>
  <c r="L78"/>
  <c r="M78" s="1"/>
  <c r="N78" s="1"/>
  <c r="N167" l="1"/>
  <c r="N159"/>
  <c r="N164"/>
  <c r="N157"/>
  <c r="N166"/>
  <c r="N154"/>
  <c r="N165"/>
  <c r="N145"/>
  <c r="A6" l="1"/>
  <c r="A10" l="1"/>
  <c r="N171"/>
  <c r="N172" s="1"/>
  <c r="P171"/>
  <c r="P172" s="1"/>
  <c r="A11" l="1"/>
  <c r="A12"/>
  <c r="A13"/>
  <c r="A14" l="1"/>
  <c r="A15" l="1"/>
  <c r="A16" l="1"/>
  <c r="A17" l="1"/>
  <c r="A18"/>
  <c r="A19" l="1"/>
  <c r="A20" s="1"/>
  <c r="A21" s="1"/>
  <c r="A22" l="1"/>
  <c r="A23" s="1"/>
  <c r="A24" s="1"/>
  <c r="A25" s="1"/>
  <c r="A26" s="1"/>
  <c r="A27" s="1"/>
  <c r="A28" s="1"/>
  <c r="A29" s="1"/>
  <c r="A30" s="1"/>
  <c r="A31" s="1"/>
  <c r="A32" s="1"/>
  <c r="A33" s="1"/>
  <c r="A35" s="1"/>
  <c r="A36" s="1"/>
  <c r="A39" s="1"/>
  <c r="A40" s="1"/>
  <c r="A41" s="1"/>
  <c r="A42" s="1"/>
  <c r="A45" s="1"/>
  <c r="A46" s="1"/>
  <c r="A47" s="1"/>
  <c r="A48" s="1"/>
  <c r="A49" s="1"/>
  <c r="A50" s="1"/>
  <c r="A51" s="1"/>
  <c r="A52" s="1"/>
  <c r="A53" s="1"/>
  <c r="A54" s="1"/>
  <c r="A55" s="1"/>
  <c r="A58" s="1"/>
  <c r="A59" s="1"/>
  <c r="A60" s="1"/>
  <c r="A61" s="1"/>
  <c r="A64" s="1"/>
  <c r="A65" s="1"/>
  <c r="A66" s="1"/>
  <c r="A67" s="1"/>
  <c r="A68" s="1"/>
  <c r="A69" s="1"/>
  <c r="A70" s="1"/>
  <c r="A71" s="1"/>
  <c r="A72" s="1"/>
  <c r="A73" s="1"/>
  <c r="A74" s="1"/>
  <c r="A75" s="1"/>
  <c r="A78" s="1"/>
  <c r="A79" s="1"/>
  <c r="A80" s="1"/>
  <c r="A83" s="1"/>
  <c r="A84" s="1"/>
  <c r="A85" s="1"/>
  <c r="A86" s="1"/>
  <c r="A87" s="1"/>
  <c r="A90" s="1"/>
  <c r="A91" s="1"/>
  <c r="A92" s="1"/>
  <c r="A93" s="1"/>
  <c r="A94" s="1"/>
  <c r="A97" s="1"/>
  <c r="A98" s="1"/>
  <c r="A99" s="1"/>
  <c r="A100" s="1"/>
  <c r="A103" s="1"/>
  <c r="A104" s="1"/>
  <c r="A105" s="1"/>
  <c r="A108" s="1"/>
  <c r="A111" s="1"/>
  <c r="A112" s="1"/>
  <c r="A113" s="1"/>
  <c r="A114" s="1"/>
  <c r="A115" s="1"/>
  <c r="A116" s="1"/>
  <c r="A117" s="1"/>
  <c r="A118" s="1"/>
  <c r="A121" s="1"/>
  <c r="A122" s="1"/>
  <c r="A123" s="1"/>
  <c r="A124" s="1"/>
  <c r="A125" s="1"/>
  <c r="A126" s="1"/>
  <c r="A130" s="1"/>
  <c r="A133" s="1"/>
  <c r="A136" s="1"/>
  <c r="A139" s="1"/>
  <c r="A140" s="1"/>
</calcChain>
</file>

<file path=xl/sharedStrings.xml><?xml version="1.0" encoding="utf-8"?>
<sst xmlns="http://schemas.openxmlformats.org/spreadsheetml/2006/main" count="280" uniqueCount="151">
  <si>
    <t>DESCRIPTION</t>
  </si>
  <si>
    <t>SUB TOTAL</t>
  </si>
  <si>
    <t>DATE</t>
  </si>
  <si>
    <t>SR #</t>
  </si>
  <si>
    <t>QUANTITY</t>
  </si>
  <si>
    <t>WASTAGE
(10%)</t>
  </si>
  <si>
    <t>QTY WITH
WASTAGE</t>
  </si>
  <si>
    <t>UNIT OF
MEASURMENT</t>
  </si>
  <si>
    <t>TOTAL TRADE
COST</t>
  </si>
  <si>
    <t>TOTAL BID</t>
  </si>
  <si>
    <t>Notes</t>
  </si>
  <si>
    <t>OVERHEAD &amp; PROFIT (25%)</t>
  </si>
  <si>
    <t>CSI SECT</t>
  </si>
  <si>
    <t>PROJECT:</t>
  </si>
  <si>
    <t>ADDRESS:</t>
  </si>
  <si>
    <t>LF</t>
  </si>
  <si>
    <t>EA</t>
  </si>
  <si>
    <t>DIV.26</t>
  </si>
  <si>
    <t>ELECTRICAL</t>
  </si>
  <si>
    <t>Lighting Fixtures</t>
  </si>
  <si>
    <t>Labor/Hour</t>
  </si>
  <si>
    <t>UNIT HOURS</t>
  </si>
  <si>
    <t>COST/HR</t>
  </si>
  <si>
    <t>MANHOURS</t>
  </si>
  <si>
    <t>TOTAL COST</t>
  </si>
  <si>
    <t>REMARKS</t>
  </si>
  <si>
    <t>MATERIAL TOTAL</t>
  </si>
  <si>
    <t>MATERIAL COST/UNIT</t>
  </si>
  <si>
    <t>LABOR TOTAL</t>
  </si>
  <si>
    <t>3/4" Conn Ss Stl - Emt</t>
  </si>
  <si>
    <t>3/4" Coupling Ss Stl - Emt</t>
  </si>
  <si>
    <t>3/4" 1-H Strap - Emt - Steel</t>
  </si>
  <si>
    <t>#8 To #10 X 7/8 Plas Anchor (3/16)</t>
  </si>
  <si>
    <t>#10 X 1 P/H Self-Tap Screw</t>
  </si>
  <si>
    <t>COMMUNICATIONS</t>
  </si>
  <si>
    <t>DIV.27</t>
  </si>
  <si>
    <t>1" Conn Ss Stl - Emt</t>
  </si>
  <si>
    <t>1" Coupling Ss Stl - Emt</t>
  </si>
  <si>
    <t>1" 1-H Strap - Emt - Steel</t>
  </si>
  <si>
    <t>DIV.28</t>
  </si>
  <si>
    <t>ELECTRONIC SAFETY AND SECURITY</t>
  </si>
  <si>
    <t>3/4" Emt Conduit</t>
  </si>
  <si>
    <t>Conduit</t>
  </si>
  <si>
    <t>Structured Cabling/Conductors</t>
  </si>
  <si>
    <t xml:space="preserve">1" Emt Conduit </t>
  </si>
  <si>
    <t>Fire Alarm System</t>
  </si>
  <si>
    <t>Building Exterior Wall Light Fixture</t>
  </si>
  <si>
    <t>Plan Tag: A, 1' X 4' Led Strip With Wire Guard Field Mount Prior To Rough In, Manufacturer: Tamlite, Model Number: SLWLEDT4-18D2L850</t>
  </si>
  <si>
    <t>Plan Tag: A/NL, 1' X 4' Led Strip With Wire Guard Field Mount Prior To Rough In, Manufacturer: Tamlite, Model Number: SLWLEDT4-18D2L850</t>
  </si>
  <si>
    <t>Plan Tag: AE, 1' X 4' Led Strip With Wire Guard Field Mount Prior To Rough In, Manufacturer: Tamlite, Model Number: SLWLEDT4-18D2L850, With In 90 Min Battery: OKT-EH-18170</t>
  </si>
  <si>
    <t>Plan Tag: AE/NL, 1' X 4' Led Strip With Wire Guard Field Mount Prior To Rough In, Manufacturer: Tamlite, Model Number: SLWLEDT4-18D2L850, With In 90 Min Battery: OKT-EH-18170</t>
  </si>
  <si>
    <t>Plan Tag: C, 1' X 4' Led Strip With Guard Field Mount Prior To Rough In, Manufacturer: Tamlite, Model Number: SLWLEDT4-18D1L850</t>
  </si>
  <si>
    <t>Plan Tag: CE, 1' X 4' Led Strip With Wire Guard Field Mount Prior To Rough In, Manufacturer: Tamlite, Model Number: SLWLEDT4-18D1L850, With In 90 Min Battery: BODNE ELI-3-100-120V</t>
  </si>
  <si>
    <t>Plan Tag: D, 1 X1 Cube Exterior Led Fixture Ul Listed For Damp Location L-GRID2-EH, Manufacturer: Tamlite, Model Number: MCLED405K</t>
  </si>
  <si>
    <t>Plan Tag: F, 2' X 4' Recessed Led Flat Lens Fixture L-Grid Edge Xtreme Ballast, Manufacturer: Tamlite, Model Number: TLP24-6050D-DM2-W</t>
  </si>
  <si>
    <t>Plan Tag: FE, 2' X 4' Recessed Led Flat Lens Fixture L-Grid Edge Xtreme Ballast, Manufacturer: Tamlite, Model Number: TLP24-6050D-DM2-W With Battery Backup</t>
  </si>
  <si>
    <t>Plan Tag: G, 4' Vapor Tight Elevator Pit Light UL Listed For Damp Location, Manufacturer: Tamlite, Model Number: ACSLW4WG</t>
  </si>
  <si>
    <t>Plan Tag: Y, Remote Emergency Heads, Equipped With High Output Battery For Remote Heads With 90 Min Backup, Manufacturer: Evenlite, Model Number: TLX-EM-RU-W</t>
  </si>
  <si>
    <t>Plan Tag: UD, Exterior Up/Down Cylinder Aluminum Led Fixture, Manufacturer: Rayon Lighting Group, Model Number: T219LED-BL-10-10XXX-40-G2</t>
  </si>
  <si>
    <t>Plan Tag: W1, Cooper Lighting Solutions-Mcgraw-Edison, Model Number: GWC-AF-02-Led-E1-T4FT</t>
  </si>
  <si>
    <t>Plan Tag: W2, Cooper Lighting Solutions-Mcgraw-Edison, Model Number: GWC-AF-02-Led-E1-T4W</t>
  </si>
  <si>
    <t>Plan Tag: SL1-B, Cooper Lighting Solutions-Lumark, Model Number: PRV-C15-D-UNV-T3</t>
  </si>
  <si>
    <t>Receptacles</t>
  </si>
  <si>
    <t>Duplex Receptacle</t>
  </si>
  <si>
    <t>Duplex Receptacle, Ceiling Mounted</t>
  </si>
  <si>
    <t>Duplex Receptacle, Gfci</t>
  </si>
  <si>
    <t>Duplex Receptacle, Gfci, Wp</t>
  </si>
  <si>
    <t>Quadplex Receptacle</t>
  </si>
  <si>
    <t>Switches</t>
  </si>
  <si>
    <t>Motor Rated Switch</t>
  </si>
  <si>
    <t>Non Fused Disconnect Switch For Condensing Unit</t>
  </si>
  <si>
    <t>Non Fused Disconnect Switch For Electric Water Heater</t>
  </si>
  <si>
    <t>Lighting Controls</t>
  </si>
  <si>
    <t>Area Lighting Switch</t>
  </si>
  <si>
    <t>Dual Technology Occupancy Sensor Switch, Wall Mounted, Watt-Stopper #Dw-100</t>
  </si>
  <si>
    <t>Line Voltage Ceiling Mounted Occupancy Sensor, Rab #Los2500/120</t>
  </si>
  <si>
    <t>Junction Boxes</t>
  </si>
  <si>
    <t>Junction Box For Gate Controller</t>
  </si>
  <si>
    <t>Junction Box, Ceiling Mounted</t>
  </si>
  <si>
    <t>Junction Box, Wall Mounted</t>
  </si>
  <si>
    <t>Telephone Backboard</t>
  </si>
  <si>
    <t>Telephone Outlet</t>
  </si>
  <si>
    <t>Low Voltage Devices</t>
  </si>
  <si>
    <t>Smoke Detector</t>
  </si>
  <si>
    <t>Elevator System</t>
  </si>
  <si>
    <t>"Do Not Use Elevator" Light</t>
  </si>
  <si>
    <t>Elevator Alternate Floor Recall Relay</t>
  </si>
  <si>
    <t>Elevator Cab Signal Device Outlet</t>
  </si>
  <si>
    <t>Elevator Controller</t>
  </si>
  <si>
    <t>Elevator Main Floor Recall Relay</t>
  </si>
  <si>
    <t>Fire Alarm Shunt Trip Monitor Relay</t>
  </si>
  <si>
    <t>Heat Detector</t>
  </si>
  <si>
    <t>FACP Fire Alarm Control Panel</t>
  </si>
  <si>
    <t>Fire Protection Supervisory &amp; Flow Valve Switch</t>
  </si>
  <si>
    <t>Panels</t>
  </si>
  <si>
    <t>Panel-1A, 400Amp Mlo, 120/208V, 3Ph, 14Kaic</t>
  </si>
  <si>
    <t>Panel-2A, 400Amp Mlo, 120/208V, 3Ph, 14Kaic</t>
  </si>
  <si>
    <t>Panel-3A, 400Amp Mlo, 120/208V, 3Ph, 14Kaic</t>
  </si>
  <si>
    <t>Panel-Mdp, 1200Amp Mcb, 120/208V, 3Ph, 65Kaic</t>
  </si>
  <si>
    <t>Panel-Mp, 600Amp Mlo, 120/208V, 3Ph, 14Kaic</t>
  </si>
  <si>
    <t>Panel-Po, 125Amp Mlo, 120/208V, 3Ph, 10Kaic</t>
  </si>
  <si>
    <t>Grounding</t>
  </si>
  <si>
    <t>Service Conductors</t>
  </si>
  <si>
    <t>Feeder Conductors</t>
  </si>
  <si>
    <t>5 #500 Alum, 3" C</t>
  </si>
  <si>
    <t>2 #500, 1 #3Gnd Cu, 3-1/2"</t>
  </si>
  <si>
    <t>2 #1, 1 #6Gnd Cu, 1-1/2"</t>
  </si>
  <si>
    <t>3 #350, 1 #1Gnd Cu, 3"</t>
  </si>
  <si>
    <t>#3 Grounding</t>
  </si>
  <si>
    <t>#6 Grounding</t>
  </si>
  <si>
    <t>5/8" Dia X 8'-0" Long Copper Clad Grounding Rod</t>
  </si>
  <si>
    <t>Ground Bus</t>
  </si>
  <si>
    <t>SITE</t>
  </si>
  <si>
    <t>Junction Box</t>
  </si>
  <si>
    <t>BUILDING-A</t>
  </si>
  <si>
    <t>1" PVC Conduit</t>
  </si>
  <si>
    <t>Non Fused Disconnect Switch, 30Amp</t>
  </si>
  <si>
    <t>2 #8, 1 #10Gnd, Cu For Site Lighting</t>
  </si>
  <si>
    <t>2 #10, 1 #10Gnd, Cu For Exterior Lighting</t>
  </si>
  <si>
    <t>2 #12, 1 #12Gnd Cu For Low Voltage Devices</t>
  </si>
  <si>
    <t>2 #10, 1 #10Gnd, Cu For Condensing Units</t>
  </si>
  <si>
    <t>2 #10, 1 #10Gnd, Cu For Electric Water Heater</t>
  </si>
  <si>
    <t>2 #12, 1 #12Gnd, Cu For Elevator Lights</t>
  </si>
  <si>
    <t>2 #12, 1 #12Gnd, Cu For Exterior Lights</t>
  </si>
  <si>
    <t>2 #12, 1 #12Gnd, Cu For Lights</t>
  </si>
  <si>
    <t>2 #12, 1 #12Gnd, Cu For Receptacles</t>
  </si>
  <si>
    <t>2 #12, 1 #12Gnd, Cu For Show Wind</t>
  </si>
  <si>
    <t>2 #12, 1 #12Gnd, Cu For Time Clock Switch</t>
  </si>
  <si>
    <t xml:space="preserve">3" Emt Conduit </t>
  </si>
  <si>
    <t>3" Conn Ss Stl - Emt</t>
  </si>
  <si>
    <t>3" Coupling Ss Stl - Emt</t>
  </si>
  <si>
    <t>3" 1-H Strap - Emt - Steel</t>
  </si>
  <si>
    <t xml:space="preserve">3-1/2" Emt Conduit </t>
  </si>
  <si>
    <t>3-1/2" Conn Ss Stl - Emt</t>
  </si>
  <si>
    <t>3-1/2" Coupling Ss Stl - Emt</t>
  </si>
  <si>
    <t>3-1/2" 1-H Strap - Emt - Steel</t>
  </si>
  <si>
    <t xml:space="preserve">1-1/2" PVC Conduit </t>
  </si>
  <si>
    <t xml:space="preserve">3" PVC Conduit </t>
  </si>
  <si>
    <t>Cat-5 For Telephone</t>
  </si>
  <si>
    <t>Cat-6 For Data Outlets</t>
  </si>
  <si>
    <t>Communication Fixtures</t>
  </si>
  <si>
    <t>2 #10, 1 #10Gnd, Cu For Air Handling Units</t>
  </si>
  <si>
    <t>Plan Tag: X, Universal Mounted Single Face Exit Sign With Black Housing, Red Letter And Integral Lead Calcium Battery, Manufacturer: Evenlite, Model Number: TLX-EM-RU-W</t>
  </si>
  <si>
    <t>Auto-Daylight Controller For Lighting</t>
  </si>
  <si>
    <t>Daylight Saving Switch For  Lighting</t>
  </si>
  <si>
    <t>Non Fused Disconnect Switch For Air Handling Unit</t>
  </si>
  <si>
    <t>Power Fixtures</t>
  </si>
  <si>
    <t>Power/Data Outlet Floor box</t>
  </si>
  <si>
    <t>Surge Suppression Device</t>
  </si>
  <si>
    <t xml:space="preserve">This estimate is based on real market prices that are regularly updated by our team persons through market surveys and online resources. </t>
  </si>
  <si>
    <t>Dact (Digital Alarm Communicator Technology)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</si>
</sst>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.0_);_(&quot;$&quot;* \(#,##0.0\);_(&quot;$&quot;* &quot;-&quot;??_);_(@_)"/>
    <numFmt numFmtId="166" formatCode="0.000"/>
    <numFmt numFmtId="167" formatCode="_(&quot;$&quot;* #,##0_);_(&quot;$&quot;* \(#,##0\);_(&quot;$&quot;* &quot;-&quot;??_);_(@_)"/>
  </numFmts>
  <fonts count="36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Narrow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8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43" fontId="2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22" fillId="0" borderId="0"/>
    <xf numFmtId="0" fontId="4" fillId="0" borderId="0"/>
    <xf numFmtId="0" fontId="23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24" fillId="0" borderId="10" xfId="0" applyFont="1" applyFill="1" applyBorder="1" applyAlignment="1">
      <alignment vertical="top"/>
    </xf>
    <xf numFmtId="164" fontId="24" fillId="0" borderId="10" xfId="0" applyNumberFormat="1" applyFont="1" applyFill="1" applyBorder="1" applyAlignment="1" applyProtection="1">
      <alignment horizontal="center" vertical="top"/>
    </xf>
    <xf numFmtId="0" fontId="24" fillId="0" borderId="10" xfId="0" applyFont="1" applyFill="1" applyBorder="1" applyAlignment="1">
      <alignment horizontal="center" vertical="top"/>
    </xf>
    <xf numFmtId="9" fontId="25" fillId="0" borderId="10" xfId="0" applyNumberFormat="1" applyFont="1" applyFill="1" applyBorder="1" applyAlignment="1">
      <alignment horizontal="center" vertical="top"/>
    </xf>
    <xf numFmtId="0" fontId="0" fillId="0" borderId="10" xfId="0" applyBorder="1" applyAlignment="1">
      <alignment horizontal="centerContinuous" vertical="center"/>
    </xf>
    <xf numFmtId="165" fontId="30" fillId="0" borderId="0" xfId="0" applyNumberFormat="1" applyFont="1" applyBorder="1" applyAlignment="1">
      <alignment vertical="center"/>
    </xf>
    <xf numFmtId="0" fontId="25" fillId="0" borderId="14" xfId="0" applyFont="1" applyFill="1" applyBorder="1" applyAlignment="1">
      <alignment horizontal="left" vertical="top"/>
    </xf>
    <xf numFmtId="0" fontId="25" fillId="0" borderId="14" xfId="0" applyFont="1" applyFill="1" applyBorder="1" applyAlignment="1">
      <alignment horizontal="centerContinuous" vertical="center"/>
    </xf>
    <xf numFmtId="0" fontId="28" fillId="0" borderId="17" xfId="0" applyFont="1" applyFill="1" applyBorder="1" applyAlignment="1">
      <alignment horizontal="left" vertical="top"/>
    </xf>
    <xf numFmtId="0" fontId="29" fillId="0" borderId="0" xfId="0" applyFont="1" applyAlignment="1"/>
    <xf numFmtId="14" fontId="29" fillId="0" borderId="0" xfId="0" applyNumberFormat="1" applyFont="1" applyAlignment="1">
      <alignment horizontal="left"/>
    </xf>
    <xf numFmtId="0" fontId="0" fillId="0" borderId="18" xfId="0" applyBorder="1" applyAlignment="1">
      <alignment horizontal="centerContinuous" vertical="center"/>
    </xf>
    <xf numFmtId="0" fontId="30" fillId="0" borderId="21" xfId="0" applyFont="1" applyBorder="1" applyAlignment="1">
      <alignment vertical="center"/>
    </xf>
    <xf numFmtId="9" fontId="30" fillId="0" borderId="21" xfId="0" applyNumberFormat="1" applyFont="1" applyBorder="1" applyAlignment="1">
      <alignment vertical="center"/>
    </xf>
    <xf numFmtId="1" fontId="30" fillId="0" borderId="21" xfId="0" applyNumberFormat="1" applyFont="1" applyBorder="1" applyAlignment="1">
      <alignment vertical="center"/>
    </xf>
    <xf numFmtId="0" fontId="30" fillId="0" borderId="21" xfId="0" applyFont="1" applyBorder="1" applyAlignment="1">
      <alignment horizontal="center" vertical="center"/>
    </xf>
    <xf numFmtId="165" fontId="30" fillId="0" borderId="21" xfId="0" applyNumberFormat="1" applyFont="1" applyBorder="1" applyAlignment="1">
      <alignment vertical="center"/>
    </xf>
    <xf numFmtId="1" fontId="24" fillId="0" borderId="20" xfId="0" applyNumberFormat="1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 vertical="center"/>
    </xf>
    <xf numFmtId="41" fontId="30" fillId="0" borderId="0" xfId="0" applyNumberFormat="1" applyFont="1" applyFill="1" applyBorder="1" applyAlignment="1">
      <alignment horizontal="right" vertical="center"/>
    </xf>
    <xf numFmtId="1" fontId="30" fillId="0" borderId="12" xfId="0" applyNumberFormat="1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9" fontId="30" fillId="0" borderId="0" xfId="0" applyNumberFormat="1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/>
    </xf>
    <xf numFmtId="44" fontId="29" fillId="0" borderId="0" xfId="91" applyFont="1" applyAlignment="1"/>
    <xf numFmtId="44" fontId="29" fillId="0" borderId="0" xfId="91" applyFont="1" applyAlignment="1">
      <alignment horizontal="left"/>
    </xf>
    <xf numFmtId="44" fontId="30" fillId="0" borderId="0" xfId="91" applyFont="1" applyFill="1" applyBorder="1" applyAlignment="1">
      <alignment horizontal="center" vertical="center"/>
    </xf>
    <xf numFmtId="44" fontId="24" fillId="0" borderId="0" xfId="91" applyFont="1" applyFill="1" applyBorder="1" applyAlignment="1">
      <alignment horizontal="center" vertical="center"/>
    </xf>
    <xf numFmtId="44" fontId="30" fillId="0" borderId="21" xfId="91" applyFont="1" applyBorder="1" applyAlignment="1">
      <alignment horizontal="center" vertical="center"/>
    </xf>
    <xf numFmtId="44" fontId="24" fillId="0" borderId="10" xfId="91" applyFont="1" applyFill="1" applyBorder="1" applyAlignment="1">
      <alignment horizontal="center" vertical="top"/>
    </xf>
    <xf numFmtId="44" fontId="0" fillId="0" borderId="10" xfId="91" applyFont="1" applyBorder="1" applyAlignment="1">
      <alignment horizontal="centerContinuous" vertical="center"/>
    </xf>
    <xf numFmtId="44" fontId="0" fillId="0" borderId="18" xfId="91" applyFont="1" applyBorder="1" applyAlignment="1">
      <alignment horizontal="centerContinuous" vertical="center"/>
    </xf>
    <xf numFmtId="9" fontId="25" fillId="0" borderId="10" xfId="92" applyFont="1" applyFill="1" applyBorder="1" applyAlignment="1">
      <alignment horizontal="center" vertical="top"/>
    </xf>
    <xf numFmtId="44" fontId="35" fillId="28" borderId="26" xfId="91" applyFont="1" applyFill="1" applyBorder="1" applyAlignment="1">
      <alignment vertical="center"/>
    </xf>
    <xf numFmtId="44" fontId="30" fillId="0" borderId="21" xfId="91" applyFont="1" applyBorder="1" applyAlignment="1">
      <alignment vertical="center"/>
    </xf>
    <xf numFmtId="44" fontId="24" fillId="0" borderId="10" xfId="91" applyFont="1" applyFill="1" applyBorder="1" applyAlignment="1">
      <alignment vertical="top"/>
    </xf>
    <xf numFmtId="167" fontId="29" fillId="0" borderId="0" xfId="91" applyNumberFormat="1" applyFont="1" applyAlignment="1"/>
    <xf numFmtId="167" fontId="29" fillId="0" borderId="0" xfId="91" applyNumberFormat="1" applyFont="1" applyAlignment="1">
      <alignment horizontal="left"/>
    </xf>
    <xf numFmtId="167" fontId="30" fillId="0" borderId="0" xfId="91" applyNumberFormat="1" applyFont="1" applyFill="1" applyBorder="1" applyAlignment="1">
      <alignment horizontal="center" vertical="center"/>
    </xf>
    <xf numFmtId="167" fontId="24" fillId="0" borderId="0" xfId="91" applyNumberFormat="1" applyFont="1" applyFill="1" applyBorder="1" applyAlignment="1">
      <alignment horizontal="center" vertical="center"/>
    </xf>
    <xf numFmtId="167" fontId="30" fillId="0" borderId="21" xfId="91" applyNumberFormat="1" applyFont="1" applyBorder="1" applyAlignment="1">
      <alignment horizontal="center" vertical="center"/>
    </xf>
    <xf numFmtId="167" fontId="24" fillId="0" borderId="10" xfId="91" applyNumberFormat="1" applyFont="1" applyFill="1" applyBorder="1" applyAlignment="1">
      <alignment horizontal="center" vertical="top"/>
    </xf>
    <xf numFmtId="167" fontId="0" fillId="0" borderId="10" xfId="91" applyNumberFormat="1" applyFont="1" applyBorder="1" applyAlignment="1">
      <alignment horizontal="centerContinuous" vertical="center"/>
    </xf>
    <xf numFmtId="167" fontId="0" fillId="0" borderId="18" xfId="91" applyNumberFormat="1" applyFont="1" applyBorder="1" applyAlignment="1">
      <alignment horizontal="centerContinuous" vertical="center"/>
    </xf>
    <xf numFmtId="167" fontId="35" fillId="28" borderId="27" xfId="91" applyNumberFormat="1" applyFont="1" applyFill="1" applyBorder="1" applyAlignment="1">
      <alignment vertical="center"/>
    </xf>
    <xf numFmtId="167" fontId="30" fillId="0" borderId="21" xfId="91" applyNumberFormat="1" applyFont="1" applyBorder="1" applyAlignment="1">
      <alignment vertical="center"/>
    </xf>
    <xf numFmtId="167" fontId="25" fillId="0" borderId="10" xfId="91" applyNumberFormat="1" applyFont="1" applyFill="1" applyBorder="1" applyAlignment="1">
      <alignment vertical="top"/>
    </xf>
    <xf numFmtId="167" fontId="35" fillId="28" borderId="28" xfId="91" applyNumberFormat="1" applyFont="1" applyFill="1" applyBorder="1" applyAlignment="1">
      <alignment vertical="center"/>
    </xf>
    <xf numFmtId="167" fontId="25" fillId="0" borderId="15" xfId="91" applyNumberFormat="1" applyFont="1" applyFill="1" applyBorder="1" applyAlignment="1">
      <alignment vertical="top"/>
    </xf>
    <xf numFmtId="167" fontId="0" fillId="0" borderId="16" xfId="91" applyNumberFormat="1" applyFont="1" applyBorder="1" applyAlignment="1">
      <alignment horizontal="centerContinuous" vertical="center"/>
    </xf>
    <xf numFmtId="167" fontId="0" fillId="0" borderId="19" xfId="91" applyNumberFormat="1" applyFont="1" applyBorder="1" applyAlignment="1">
      <alignment horizontal="centerContinuous" vertical="center"/>
    </xf>
    <xf numFmtId="0" fontId="0" fillId="0" borderId="0" xfId="0" applyAlignment="1"/>
    <xf numFmtId="0" fontId="27" fillId="24" borderId="11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justify" vertical="center"/>
    </xf>
    <xf numFmtId="0" fontId="34" fillId="25" borderId="25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justify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top"/>
    </xf>
    <xf numFmtId="0" fontId="27" fillId="0" borderId="21" xfId="0" applyFont="1" applyBorder="1" applyAlignment="1"/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2" fillId="0" borderId="0" xfId="0" applyFont="1" applyAlignment="1"/>
    <xf numFmtId="44" fontId="0" fillId="0" borderId="0" xfId="91" applyFont="1" applyAlignment="1"/>
    <xf numFmtId="167" fontId="0" fillId="0" borderId="0" xfId="91" applyNumberFormat="1" applyFont="1" applyAlignment="1"/>
    <xf numFmtId="0" fontId="0" fillId="24" borderId="0" xfId="0" applyFill="1" applyAlignment="1"/>
    <xf numFmtId="0" fontId="30" fillId="24" borderId="11" xfId="0" applyFont="1" applyFill="1" applyBorder="1" applyAlignment="1"/>
    <xf numFmtId="44" fontId="30" fillId="24" borderId="11" xfId="91" applyFont="1" applyFill="1" applyBorder="1" applyAlignment="1"/>
    <xf numFmtId="167" fontId="30" fillId="24" borderId="11" xfId="91" applyNumberFormat="1" applyFont="1" applyFill="1" applyBorder="1" applyAlignment="1"/>
    <xf numFmtId="167" fontId="27" fillId="24" borderId="13" xfId="91" applyNumberFormat="1" applyFont="1" applyFill="1" applyBorder="1" applyAlignment="1"/>
    <xf numFmtId="0" fontId="30" fillId="0" borderId="0" xfId="0" applyFont="1" applyBorder="1" applyAlignment="1"/>
    <xf numFmtId="9" fontId="30" fillId="0" borderId="0" xfId="0" applyNumberFormat="1" applyFont="1" applyFill="1" applyBorder="1" applyAlignment="1">
      <alignment horizontal="right" vertical="center"/>
    </xf>
    <xf numFmtId="167" fontId="30" fillId="0" borderId="12" xfId="91" applyNumberFormat="1" applyFont="1" applyBorder="1" applyAlignment="1"/>
    <xf numFmtId="44" fontId="27" fillId="0" borderId="0" xfId="91" applyFont="1" applyFill="1" applyBorder="1" applyAlignment="1">
      <alignment horizontal="center" vertical="center"/>
    </xf>
    <xf numFmtId="167" fontId="27" fillId="0" borderId="0" xfId="91" applyNumberFormat="1" applyFont="1" applyFill="1" applyBorder="1" applyAlignment="1">
      <alignment horizontal="center" vertical="center"/>
    </xf>
    <xf numFmtId="9" fontId="30" fillId="0" borderId="0" xfId="92" applyFont="1" applyFill="1" applyBorder="1" applyAlignment="1">
      <alignment horizontal="center" vertical="center"/>
    </xf>
    <xf numFmtId="166" fontId="30" fillId="0" borderId="0" xfId="0" applyNumberFormat="1" applyFont="1" applyFill="1" applyBorder="1" applyAlignment="1">
      <alignment horizontal="center" vertical="center"/>
    </xf>
    <xf numFmtId="2" fontId="30" fillId="0" borderId="0" xfId="0" applyNumberFormat="1" applyFont="1" applyFill="1" applyBorder="1" applyAlignment="1">
      <alignment horizontal="center" vertical="center"/>
    </xf>
    <xf numFmtId="167" fontId="27" fillId="0" borderId="12" xfId="91" applyNumberFormat="1" applyFont="1" applyFill="1" applyBorder="1" applyAlignment="1">
      <alignment horizontal="center" vertical="center"/>
    </xf>
    <xf numFmtId="0" fontId="27" fillId="0" borderId="0" xfId="0" applyFont="1" applyAlignment="1"/>
    <xf numFmtId="44" fontId="30" fillId="0" borderId="0" xfId="91" applyFont="1" applyFill="1" applyBorder="1" applyAlignment="1">
      <alignment horizontal="center" vertical="center"/>
    </xf>
    <xf numFmtId="0" fontId="30" fillId="0" borderId="21" xfId="0" applyFont="1" applyBorder="1" applyAlignment="1"/>
    <xf numFmtId="167" fontId="30" fillId="0" borderId="20" xfId="91" applyNumberFormat="1" applyFont="1" applyBorder="1" applyAlignment="1"/>
    <xf numFmtId="44" fontId="30" fillId="0" borderId="0" xfId="91" applyFont="1" applyFill="1" applyBorder="1" applyAlignment="1">
      <alignment horizontal="center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44" fontId="30" fillId="0" borderId="0" xfId="96" applyFont="1" applyFill="1" applyBorder="1" applyAlignment="1">
      <alignment horizontal="center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44" fontId="30" fillId="0" borderId="0" xfId="96" applyFont="1" applyFill="1" applyBorder="1" applyAlignment="1">
      <alignment horizontal="center" vertical="center" wrapText="1"/>
    </xf>
    <xf numFmtId="0" fontId="27" fillId="24" borderId="22" xfId="0" applyFont="1" applyFill="1" applyBorder="1" applyAlignment="1">
      <alignment horizontal="center" vertical="center"/>
    </xf>
    <xf numFmtId="0" fontId="27" fillId="24" borderId="23" xfId="0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 wrapText="1"/>
    </xf>
    <xf numFmtId="0" fontId="27" fillId="24" borderId="24" xfId="0" applyFont="1" applyFill="1" applyBorder="1" applyAlignment="1">
      <alignment horizontal="center" vertical="center"/>
    </xf>
    <xf numFmtId="0" fontId="27" fillId="24" borderId="0" xfId="0" applyFont="1" applyFill="1"/>
    <xf numFmtId="0" fontId="0" fillId="24" borderId="0" xfId="0" applyFill="1"/>
    <xf numFmtId="44" fontId="27" fillId="26" borderId="24" xfId="96" applyFont="1" applyFill="1" applyBorder="1" applyAlignment="1">
      <alignment horizontal="center" vertical="center" wrapText="1"/>
    </xf>
    <xf numFmtId="44" fontId="27" fillId="24" borderId="24" xfId="96" applyFont="1" applyFill="1" applyBorder="1" applyAlignment="1">
      <alignment horizontal="center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7" fontId="27" fillId="24" borderId="24" xfId="96" applyNumberFormat="1" applyFont="1" applyFill="1" applyBorder="1" applyAlignment="1">
      <alignment horizontal="center" vertical="center" wrapText="1"/>
    </xf>
    <xf numFmtId="167" fontId="27" fillId="27" borderId="24" xfId="96" applyNumberFormat="1" applyFont="1" applyFill="1" applyBorder="1" applyAlignment="1">
      <alignment horizontal="center" vertical="center" wrapText="1"/>
    </xf>
    <xf numFmtId="167" fontId="27" fillId="25" borderId="22" xfId="96" applyNumberFormat="1" applyFont="1" applyFill="1" applyBorder="1" applyAlignment="1">
      <alignment horizontal="center" vertical="center" wrapText="1"/>
    </xf>
    <xf numFmtId="44" fontId="30" fillId="0" borderId="0" xfId="96" applyFont="1" applyFill="1" applyBorder="1" applyAlignment="1">
      <alignment horizontal="center" vertical="center" wrapText="1"/>
    </xf>
    <xf numFmtId="0" fontId="34" fillId="29" borderId="29" xfId="0" applyFont="1" applyFill="1" applyBorder="1" applyAlignment="1">
      <alignment horizontal="center" vertical="center"/>
    </xf>
    <xf numFmtId="0" fontId="34" fillId="29" borderId="0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44" fontId="30" fillId="0" borderId="0" xfId="9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18" xfId="0" applyFont="1" applyBorder="1" applyAlignment="1">
      <alignment horizontal="center"/>
    </xf>
  </cellXfs>
  <cellStyles count="98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omma 2" xfId="55"/>
    <cellStyle name="Comma 2 2" xfId="90"/>
    <cellStyle name="Currency" xfId="91" builtinId="4"/>
    <cellStyle name="Currency 2" xfId="96"/>
    <cellStyle name="Explanatory Text 2" xfId="56"/>
    <cellStyle name="Explanatory Text 3" xfId="57"/>
    <cellStyle name="Good 2" xfId="58"/>
    <cellStyle name="Good 3" xfId="59"/>
    <cellStyle name="Heading 1 2" xfId="60"/>
    <cellStyle name="Heading 1 3" xfId="61"/>
    <cellStyle name="Heading 2 2" xfId="62"/>
    <cellStyle name="Heading 2 3" xfId="63"/>
    <cellStyle name="Heading 3 2" xfId="64"/>
    <cellStyle name="Heading 3 3" xfId="65"/>
    <cellStyle name="Heading 4 2" xfId="66"/>
    <cellStyle name="Heading 4 3" xfId="67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2" xfId="89"/>
    <cellStyle name="Normal 2 2" xfId="74"/>
    <cellStyle name="Normal 2 3" xfId="75"/>
    <cellStyle name="Normal 2 3 2" xfId="93"/>
    <cellStyle name="Normal 3" xfId="76"/>
    <cellStyle name="Normal 4" xfId="88"/>
    <cellStyle name="Normal 4 2" xfId="95"/>
    <cellStyle name="Normal 6" xfId="77"/>
    <cellStyle name="Normal 6 2" xfId="94"/>
    <cellStyle name="Note 2" xfId="78"/>
    <cellStyle name="Note 3" xfId="79"/>
    <cellStyle name="Output 2" xfId="80"/>
    <cellStyle name="Output 3" xfId="81"/>
    <cellStyle name="Percent" xfId="92" builtinId="5"/>
    <cellStyle name="Percent 2" xfId="97"/>
    <cellStyle name="Title 2" xfId="82"/>
    <cellStyle name="Title 3" xfId="83"/>
    <cellStyle name="Total 2" xfId="84"/>
    <cellStyle name="Total 3" xfId="85"/>
    <cellStyle name="Warning Text 2" xfId="86"/>
    <cellStyle name="Warning Text 3" xfId="87"/>
  </cellStyles>
  <dxfs count="0"/>
  <tableStyles count="0" defaultTableStyle="TableStyleMedium9" defaultPivotStyle="PivotStyleLight16"/>
  <colors>
    <mruColors>
      <color rgb="FFFFFFFF"/>
      <color rgb="FF6DD9FF"/>
      <color rgb="FF2DC8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A9-4974-BCD6-13295A4AC57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axId val="13223808"/>
        <c:axId val="13225344"/>
      </c:barChart>
      <c:catAx>
        <c:axId val="132238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225344"/>
        <c:crosses val="autoZero"/>
        <c:auto val="1"/>
        <c:lblAlgn val="ctr"/>
        <c:lblOffset val="100"/>
      </c:catAx>
      <c:valAx>
        <c:axId val="132253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223808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177800</xdr:rowOff>
    </xdr:from>
    <xdr:to>
      <xdr:col>2</xdr:col>
      <xdr:colOff>2747158</xdr:colOff>
      <xdr:row>3</xdr:row>
      <xdr:rowOff>233217</xdr:rowOff>
    </xdr:to>
    <xdr:pic>
      <xdr:nvPicPr>
        <xdr:cNvPr id="2" name="Picture 1" descr="Focus 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177800"/>
          <a:ext cx="3661558" cy="7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Q174"/>
  <sheetViews>
    <sheetView tabSelected="1" view="pageBreakPreview" zoomScale="75" zoomScaleSheetLayoutView="75" workbookViewId="0">
      <pane ySplit="5" topLeftCell="A6" activePane="bottomLeft" state="frozen"/>
      <selection pane="bottomLeft" activeCell="P7" sqref="P7"/>
    </sheetView>
  </sheetViews>
  <sheetFormatPr defaultRowHeight="15"/>
  <cols>
    <col min="1" max="1" width="4.44140625" style="54" customWidth="1"/>
    <col min="2" max="2" width="12.109375" style="54" customWidth="1"/>
    <col min="3" max="3" width="37.33203125" style="54" customWidth="1"/>
    <col min="4" max="4" width="8.33203125" style="54" customWidth="1"/>
    <col min="5" max="5" width="8.5546875" style="54" customWidth="1"/>
    <col min="6" max="6" width="9.33203125" style="54" customWidth="1"/>
    <col min="7" max="7" width="10.77734375" style="54" customWidth="1"/>
    <col min="8" max="8" width="10.77734375" style="66" customWidth="1"/>
    <col min="9" max="10" width="10.77734375" style="54" customWidth="1"/>
    <col min="11" max="11" width="10.77734375" style="67" customWidth="1"/>
    <col min="12" max="12" width="9.21875" style="54" bestFit="1" customWidth="1"/>
    <col min="13" max="13" width="10.5546875" style="66" customWidth="1"/>
    <col min="14" max="15" width="10.5546875" style="67" customWidth="1"/>
    <col min="16" max="16" width="11.21875" style="67" customWidth="1"/>
    <col min="17" max="16384" width="8.88671875" style="54"/>
  </cols>
  <sheetData>
    <row r="1" spans="1:17" ht="18.75">
      <c r="A1" s="110"/>
      <c r="B1" s="110"/>
      <c r="C1" s="110"/>
      <c r="F1" s="65" t="s">
        <v>13</v>
      </c>
      <c r="G1" s="10"/>
      <c r="H1" s="27"/>
      <c r="I1" s="10"/>
      <c r="J1" s="10"/>
      <c r="K1" s="39"/>
    </row>
    <row r="2" spans="1:17" ht="18.75" customHeight="1">
      <c r="A2" s="110"/>
      <c r="B2" s="110"/>
      <c r="C2" s="110"/>
      <c r="F2" s="107" t="s">
        <v>14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7" ht="18.75" customHeight="1">
      <c r="A3" s="110"/>
      <c r="B3" s="110"/>
      <c r="C3" s="110"/>
      <c r="F3" s="107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"/>
    </row>
    <row r="4" spans="1:17" ht="18.75">
      <c r="A4" s="111"/>
      <c r="B4" s="111"/>
      <c r="C4" s="111"/>
      <c r="F4" s="65" t="s">
        <v>2</v>
      </c>
      <c r="G4" s="11"/>
      <c r="H4" s="28"/>
      <c r="I4" s="11"/>
      <c r="J4" s="11"/>
      <c r="K4" s="40"/>
    </row>
    <row r="5" spans="1:17" s="97" customFormat="1" ht="45.75" thickBot="1">
      <c r="A5" s="92" t="s">
        <v>3</v>
      </c>
      <c r="B5" s="93" t="s">
        <v>12</v>
      </c>
      <c r="C5" s="94" t="s">
        <v>0</v>
      </c>
      <c r="D5" s="95" t="s">
        <v>4</v>
      </c>
      <c r="E5" s="94" t="s">
        <v>5</v>
      </c>
      <c r="F5" s="94" t="s">
        <v>6</v>
      </c>
      <c r="G5" s="94" t="s">
        <v>7</v>
      </c>
      <c r="H5" s="99" t="s">
        <v>27</v>
      </c>
      <c r="I5" s="98" t="s">
        <v>26</v>
      </c>
      <c r="J5" s="94" t="s">
        <v>21</v>
      </c>
      <c r="K5" s="101" t="s">
        <v>22</v>
      </c>
      <c r="L5" s="94" t="s">
        <v>23</v>
      </c>
      <c r="M5" s="98" t="s">
        <v>28</v>
      </c>
      <c r="N5" s="102" t="s">
        <v>24</v>
      </c>
      <c r="O5" s="101" t="s">
        <v>25</v>
      </c>
      <c r="P5" s="103" t="s">
        <v>8</v>
      </c>
      <c r="Q5" s="96"/>
    </row>
    <row r="6" spans="1:17" s="68" customFormat="1" ht="16.5" thickBot="1">
      <c r="A6" s="25" t="str">
        <f>IF(F6&lt;&gt;"",1+MAX(#REF!),"")</f>
        <v/>
      </c>
      <c r="B6" s="26" t="s">
        <v>17</v>
      </c>
      <c r="C6" s="55" t="s">
        <v>18</v>
      </c>
      <c r="D6" s="69"/>
      <c r="E6" s="69"/>
      <c r="F6" s="69"/>
      <c r="G6" s="69"/>
      <c r="H6" s="70"/>
      <c r="I6" s="69"/>
      <c r="J6" s="69"/>
      <c r="K6" s="71"/>
      <c r="L6" s="69"/>
      <c r="M6" s="70"/>
      <c r="N6" s="71"/>
      <c r="O6" s="71"/>
      <c r="P6" s="72">
        <f>SUM(N7:N141)</f>
        <v>350102.55405650003</v>
      </c>
    </row>
    <row r="7" spans="1:17" ht="15.75">
      <c r="A7" s="21" t="str">
        <f>IF(F7&lt;&gt;"",1+MAX($A$6:A6),"")</f>
        <v/>
      </c>
      <c r="B7" s="73"/>
      <c r="C7" s="56"/>
      <c r="D7" s="20"/>
      <c r="E7" s="74"/>
      <c r="F7" s="20"/>
      <c r="G7" s="19"/>
      <c r="H7" s="29"/>
      <c r="I7" s="19"/>
      <c r="J7" s="19"/>
      <c r="K7" s="41"/>
      <c r="L7" s="6"/>
      <c r="M7" s="36" t="s">
        <v>20</v>
      </c>
      <c r="N7" s="50"/>
      <c r="O7" s="47">
        <v>40</v>
      </c>
      <c r="P7" s="75"/>
    </row>
    <row r="8" spans="1:17" ht="15.75">
      <c r="A8" s="21" t="str">
        <f>IF(F8&lt;&gt;"",1+MAX($A$6:A7),"")</f>
        <v/>
      </c>
      <c r="B8" s="105" t="s">
        <v>114</v>
      </c>
      <c r="C8" s="106"/>
      <c r="D8" s="106"/>
      <c r="E8" s="78"/>
      <c r="F8" s="19"/>
      <c r="G8" s="19"/>
      <c r="H8" s="29"/>
      <c r="I8" s="29"/>
      <c r="J8" s="79"/>
      <c r="K8" s="41"/>
      <c r="L8" s="80"/>
      <c r="M8" s="29"/>
      <c r="N8" s="77"/>
      <c r="O8" s="77"/>
      <c r="P8" s="81"/>
      <c r="Q8" s="82"/>
    </row>
    <row r="9" spans="1:17" ht="15.75">
      <c r="A9" s="21" t="str">
        <f>IF(F9&lt;&gt;"",1+MAX($A$6:A8),"")</f>
        <v/>
      </c>
      <c r="B9" s="73"/>
      <c r="C9" s="57" t="s">
        <v>42</v>
      </c>
      <c r="D9" s="20"/>
      <c r="E9" s="74"/>
      <c r="F9" s="20"/>
      <c r="G9" s="19"/>
      <c r="H9" s="29"/>
      <c r="I9" s="19"/>
      <c r="J9" s="19"/>
      <c r="K9" s="41"/>
      <c r="L9" s="19"/>
      <c r="M9" s="76"/>
      <c r="N9" s="77"/>
      <c r="O9" s="77"/>
      <c r="P9" s="75"/>
    </row>
    <row r="10" spans="1:17" ht="15.75">
      <c r="A10" s="21">
        <f>IF(F10&lt;&gt;"",1+MAX($A$6:A9),"")</f>
        <v>1</v>
      </c>
      <c r="B10" s="22"/>
      <c r="C10" s="59" t="s">
        <v>41</v>
      </c>
      <c r="D10" s="19">
        <v>10523</v>
      </c>
      <c r="E10" s="78">
        <v>0.1</v>
      </c>
      <c r="F10" s="19">
        <f t="shared" ref="F10:F33" si="0">(1+E10)*D10</f>
        <v>11575.300000000001</v>
      </c>
      <c r="G10" s="19" t="s">
        <v>15</v>
      </c>
      <c r="H10" s="29">
        <v>1.07</v>
      </c>
      <c r="I10" s="29">
        <f t="shared" ref="I10" si="1">F10*H10</f>
        <v>12385.571000000002</v>
      </c>
      <c r="J10" s="79">
        <v>6.2E-2</v>
      </c>
      <c r="K10" s="41">
        <f t="shared" ref="K10" si="2">$O$7</f>
        <v>40</v>
      </c>
      <c r="L10" s="80">
        <f t="shared" ref="L10" si="3">J10*F10</f>
        <v>717.66860000000008</v>
      </c>
      <c r="M10" s="29">
        <f t="shared" ref="M10" si="4">L10*K10</f>
        <v>28706.744000000002</v>
      </c>
      <c r="N10" s="77">
        <f t="shared" ref="N10" si="5">M10+I10</f>
        <v>41092.315000000002</v>
      </c>
      <c r="O10" s="77"/>
      <c r="P10" s="81"/>
      <c r="Q10" s="82"/>
    </row>
    <row r="11" spans="1:17" ht="15.75">
      <c r="A11" s="21">
        <f>IF(F11&lt;&gt;"",1+MAX($A$6:A10),"")</f>
        <v>2</v>
      </c>
      <c r="B11" s="22"/>
      <c r="C11" s="60" t="s">
        <v>29</v>
      </c>
      <c r="D11" s="19">
        <f>ROUNDUP(D10*8%,0)</f>
        <v>842</v>
      </c>
      <c r="E11" s="78">
        <v>0</v>
      </c>
      <c r="F11" s="19">
        <f t="shared" si="0"/>
        <v>842</v>
      </c>
      <c r="G11" s="19" t="s">
        <v>16</v>
      </c>
      <c r="H11" s="109"/>
      <c r="I11" s="109"/>
      <c r="J11" s="109"/>
      <c r="K11" s="109"/>
      <c r="L11" s="109"/>
      <c r="M11" s="109"/>
      <c r="N11" s="109"/>
      <c r="O11" s="77"/>
      <c r="P11" s="81"/>
      <c r="Q11" s="82"/>
    </row>
    <row r="12" spans="1:17" ht="15.75">
      <c r="A12" s="21">
        <f>IF(F12&lt;&gt;"",1+MAX($A$6:A11),"")</f>
        <v>3</v>
      </c>
      <c r="B12" s="22"/>
      <c r="C12" s="60" t="s">
        <v>30</v>
      </c>
      <c r="D12" s="19">
        <f>ROUNDUP(D10/10,0)</f>
        <v>1053</v>
      </c>
      <c r="E12" s="78">
        <v>0</v>
      </c>
      <c r="F12" s="19">
        <f t="shared" si="0"/>
        <v>1053</v>
      </c>
      <c r="G12" s="19" t="s">
        <v>16</v>
      </c>
      <c r="H12" s="109"/>
      <c r="I12" s="109"/>
      <c r="J12" s="109"/>
      <c r="K12" s="109"/>
      <c r="L12" s="109"/>
      <c r="M12" s="109"/>
      <c r="N12" s="109"/>
      <c r="O12" s="77"/>
      <c r="P12" s="81"/>
      <c r="Q12" s="82"/>
    </row>
    <row r="13" spans="1:17" ht="15.75">
      <c r="A13" s="21">
        <f>IF(F13&lt;&gt;"",1+MAX($A$6:A12),"")</f>
        <v>4</v>
      </c>
      <c r="B13" s="22"/>
      <c r="C13" s="60" t="s">
        <v>31</v>
      </c>
      <c r="D13" s="19">
        <f>ROUNDUP(D10/9.2,0)+ROUNDUP(D10*4%,0)</f>
        <v>1565</v>
      </c>
      <c r="E13" s="78">
        <v>0</v>
      </c>
      <c r="F13" s="19">
        <f t="shared" si="0"/>
        <v>1565</v>
      </c>
      <c r="G13" s="19" t="s">
        <v>16</v>
      </c>
      <c r="H13" s="109"/>
      <c r="I13" s="109"/>
      <c r="J13" s="109"/>
      <c r="K13" s="109"/>
      <c r="L13" s="109"/>
      <c r="M13" s="109"/>
      <c r="N13" s="109"/>
      <c r="O13" s="77"/>
      <c r="P13" s="81"/>
      <c r="Q13" s="82"/>
    </row>
    <row r="14" spans="1:17" ht="15.75">
      <c r="A14" s="21">
        <f>IF(F14&lt;&gt;"",1+MAX($A$6:A13),"")</f>
        <v>5</v>
      </c>
      <c r="B14" s="22"/>
      <c r="C14" s="60" t="s">
        <v>32</v>
      </c>
      <c r="D14" s="19">
        <f>ROUNDUP(D10/9.2,0)+ROUNDUP(D10*9%,0)</f>
        <v>2092</v>
      </c>
      <c r="E14" s="78">
        <v>0</v>
      </c>
      <c r="F14" s="19">
        <f t="shared" si="0"/>
        <v>2092</v>
      </c>
      <c r="G14" s="19" t="s">
        <v>16</v>
      </c>
      <c r="H14" s="109"/>
      <c r="I14" s="109"/>
      <c r="J14" s="109"/>
      <c r="K14" s="109"/>
      <c r="L14" s="109"/>
      <c r="M14" s="109"/>
      <c r="N14" s="109"/>
      <c r="O14" s="77"/>
      <c r="P14" s="81"/>
      <c r="Q14" s="82"/>
    </row>
    <row r="15" spans="1:17" ht="15.75">
      <c r="A15" s="21">
        <f>IF(F15&lt;&gt;"",1+MAX($A$6:A14),"")</f>
        <v>6</v>
      </c>
      <c r="B15" s="22"/>
      <c r="C15" s="60" t="s">
        <v>33</v>
      </c>
      <c r="D15" s="19">
        <f>ROUNDUP(D10/9.2,0)+ROUNDUP(D10*9%,0)</f>
        <v>2092</v>
      </c>
      <c r="E15" s="78">
        <v>0</v>
      </c>
      <c r="F15" s="19">
        <f t="shared" si="0"/>
        <v>2092</v>
      </c>
      <c r="G15" s="19" t="s">
        <v>16</v>
      </c>
      <c r="H15" s="109"/>
      <c r="I15" s="109"/>
      <c r="J15" s="109"/>
      <c r="K15" s="109"/>
      <c r="L15" s="109"/>
      <c r="M15" s="109"/>
      <c r="N15" s="109"/>
      <c r="O15" s="77"/>
      <c r="P15" s="81"/>
      <c r="Q15" s="82"/>
    </row>
    <row r="16" spans="1:17" ht="15.75">
      <c r="A16" s="21">
        <f>IF(F16&lt;&gt;"",1+MAX($A$6:A15),"")</f>
        <v>7</v>
      </c>
      <c r="B16" s="22"/>
      <c r="C16" s="59" t="s">
        <v>44</v>
      </c>
      <c r="D16" s="19">
        <v>6288</v>
      </c>
      <c r="E16" s="78">
        <v>0.1</v>
      </c>
      <c r="F16" s="19">
        <f t="shared" si="0"/>
        <v>6916.8</v>
      </c>
      <c r="G16" s="19" t="s">
        <v>15</v>
      </c>
      <c r="H16" s="29">
        <v>1.8</v>
      </c>
      <c r="I16" s="29">
        <f t="shared" ref="I16" si="6">F16*H16</f>
        <v>12450.24</v>
      </c>
      <c r="J16" s="79">
        <v>7.0000000000000007E-2</v>
      </c>
      <c r="K16" s="41">
        <f t="shared" ref="K16" si="7">$O$7</f>
        <v>40</v>
      </c>
      <c r="L16" s="80">
        <f t="shared" ref="L16" si="8">J16*F16</f>
        <v>484.17600000000004</v>
      </c>
      <c r="M16" s="29">
        <f t="shared" ref="M16" si="9">L16*K16</f>
        <v>19367.04</v>
      </c>
      <c r="N16" s="77">
        <f t="shared" ref="N16" si="10">M16+I16</f>
        <v>31817.279999999999</v>
      </c>
      <c r="O16" s="77"/>
      <c r="P16" s="81"/>
      <c r="Q16" s="82"/>
    </row>
    <row r="17" spans="1:17" ht="15.75">
      <c r="A17" s="21">
        <f>IF(F17&lt;&gt;"",1+MAX($A$6:A16),"")</f>
        <v>8</v>
      </c>
      <c r="B17" s="22"/>
      <c r="C17" s="60" t="s">
        <v>36</v>
      </c>
      <c r="D17" s="19">
        <f>ROUNDUP(D16*8%,0)</f>
        <v>504</v>
      </c>
      <c r="E17" s="78">
        <v>0</v>
      </c>
      <c r="F17" s="19">
        <f t="shared" si="0"/>
        <v>504</v>
      </c>
      <c r="G17" s="19" t="s">
        <v>16</v>
      </c>
      <c r="H17" s="109"/>
      <c r="I17" s="109"/>
      <c r="J17" s="109"/>
      <c r="K17" s="109"/>
      <c r="L17" s="109"/>
      <c r="M17" s="109"/>
      <c r="N17" s="109"/>
      <c r="O17" s="77"/>
      <c r="P17" s="81"/>
      <c r="Q17" s="82"/>
    </row>
    <row r="18" spans="1:17" ht="15.75">
      <c r="A18" s="21">
        <f>IF(F18&lt;&gt;"",1+MAX($A$6:A17),"")</f>
        <v>9</v>
      </c>
      <c r="B18" s="22"/>
      <c r="C18" s="60" t="s">
        <v>37</v>
      </c>
      <c r="D18" s="19">
        <f>ROUNDUP(D16/10,0)</f>
        <v>629</v>
      </c>
      <c r="E18" s="78">
        <v>0</v>
      </c>
      <c r="F18" s="19">
        <f t="shared" si="0"/>
        <v>629</v>
      </c>
      <c r="G18" s="19" t="s">
        <v>16</v>
      </c>
      <c r="H18" s="109"/>
      <c r="I18" s="109"/>
      <c r="J18" s="109"/>
      <c r="K18" s="109"/>
      <c r="L18" s="109"/>
      <c r="M18" s="109"/>
      <c r="N18" s="109"/>
      <c r="O18" s="77"/>
      <c r="P18" s="81"/>
      <c r="Q18" s="82"/>
    </row>
    <row r="19" spans="1:17" ht="15.75">
      <c r="A19" s="21">
        <f>IF(F19&lt;&gt;"",1+MAX($A$6:A18),"")</f>
        <v>10</v>
      </c>
      <c r="B19" s="22"/>
      <c r="C19" s="60" t="s">
        <v>38</v>
      </c>
      <c r="D19" s="19">
        <f>ROUNDUP(D16/9.2,0)+ROUNDUP(D16*4%,0)</f>
        <v>936</v>
      </c>
      <c r="E19" s="78">
        <v>0</v>
      </c>
      <c r="F19" s="19">
        <f t="shared" si="0"/>
        <v>936</v>
      </c>
      <c r="G19" s="19" t="s">
        <v>16</v>
      </c>
      <c r="H19" s="109"/>
      <c r="I19" s="109"/>
      <c r="J19" s="109"/>
      <c r="K19" s="109"/>
      <c r="L19" s="109"/>
      <c r="M19" s="109"/>
      <c r="N19" s="109"/>
      <c r="O19" s="77"/>
      <c r="P19" s="81"/>
      <c r="Q19" s="82"/>
    </row>
    <row r="20" spans="1:17" ht="15.75">
      <c r="A20" s="21">
        <f>IF(F20&lt;&gt;"",1+MAX($A$6:A19),"")</f>
        <v>11</v>
      </c>
      <c r="B20" s="22"/>
      <c r="C20" s="60" t="s">
        <v>32</v>
      </c>
      <c r="D20" s="19">
        <f>ROUNDUP(D16/9.2,0)+ROUNDUP(D16*9%,0)</f>
        <v>1250</v>
      </c>
      <c r="E20" s="78">
        <v>0</v>
      </c>
      <c r="F20" s="19">
        <f t="shared" si="0"/>
        <v>1250</v>
      </c>
      <c r="G20" s="19" t="s">
        <v>16</v>
      </c>
      <c r="H20" s="109"/>
      <c r="I20" s="109"/>
      <c r="J20" s="109"/>
      <c r="K20" s="109"/>
      <c r="L20" s="109"/>
      <c r="M20" s="109"/>
      <c r="N20" s="109"/>
      <c r="O20" s="77"/>
      <c r="P20" s="81"/>
      <c r="Q20" s="82"/>
    </row>
    <row r="21" spans="1:17" ht="15.75">
      <c r="A21" s="21">
        <f>IF(F21&lt;&gt;"",1+MAX($A$6:A20),"")</f>
        <v>12</v>
      </c>
      <c r="B21" s="22"/>
      <c r="C21" s="60" t="s">
        <v>33</v>
      </c>
      <c r="D21" s="19">
        <f>ROUNDUP(D16/9.2,0)+ROUNDUP(D16*9%,0)</f>
        <v>1250</v>
      </c>
      <c r="E21" s="78">
        <v>0</v>
      </c>
      <c r="F21" s="19">
        <f t="shared" si="0"/>
        <v>1250</v>
      </c>
      <c r="G21" s="19" t="s">
        <v>16</v>
      </c>
      <c r="H21" s="109"/>
      <c r="I21" s="109"/>
      <c r="J21" s="109"/>
      <c r="K21" s="109"/>
      <c r="L21" s="109"/>
      <c r="M21" s="109"/>
      <c r="N21" s="109"/>
      <c r="O21" s="77"/>
      <c r="P21" s="81"/>
      <c r="Q21" s="82"/>
    </row>
    <row r="22" spans="1:17" ht="15.75">
      <c r="A22" s="21">
        <f>IF(F22&lt;&gt;"",1+MAX($A$6:A21),"")</f>
        <v>13</v>
      </c>
      <c r="B22" s="22"/>
      <c r="C22" s="59" t="s">
        <v>128</v>
      </c>
      <c r="D22" s="19">
        <v>100</v>
      </c>
      <c r="E22" s="78">
        <v>0.1</v>
      </c>
      <c r="F22" s="19">
        <f t="shared" ref="F22:F27" si="11">(1+E22)*D22</f>
        <v>110.00000000000001</v>
      </c>
      <c r="G22" s="19" t="s">
        <v>15</v>
      </c>
      <c r="H22" s="29">
        <v>6.15</v>
      </c>
      <c r="I22" s="29">
        <f t="shared" ref="I22" si="12">F22*H22</f>
        <v>676.50000000000011</v>
      </c>
      <c r="J22" s="79">
        <v>0.16</v>
      </c>
      <c r="K22" s="41">
        <f t="shared" ref="K22" si="13">$O$7</f>
        <v>40</v>
      </c>
      <c r="L22" s="80">
        <f t="shared" ref="L22" si="14">J22*F22</f>
        <v>17.600000000000001</v>
      </c>
      <c r="M22" s="29">
        <f t="shared" ref="M22" si="15">L22*K22</f>
        <v>704</v>
      </c>
      <c r="N22" s="77">
        <f t="shared" ref="N22" si="16">M22+I22</f>
        <v>1380.5</v>
      </c>
      <c r="O22" s="77"/>
      <c r="P22" s="81"/>
      <c r="Q22" s="82"/>
    </row>
    <row r="23" spans="1:17" ht="15.75">
      <c r="A23" s="21">
        <f>IF(F23&lt;&gt;"",1+MAX($A$6:A22),"")</f>
        <v>14</v>
      </c>
      <c r="B23" s="22"/>
      <c r="C23" s="60" t="s">
        <v>129</v>
      </c>
      <c r="D23" s="19">
        <f>ROUNDUP(D22*8%,0)</f>
        <v>8</v>
      </c>
      <c r="E23" s="78">
        <v>0</v>
      </c>
      <c r="F23" s="19">
        <f t="shared" si="11"/>
        <v>8</v>
      </c>
      <c r="G23" s="19" t="s">
        <v>16</v>
      </c>
      <c r="H23" s="109"/>
      <c r="I23" s="109"/>
      <c r="J23" s="109"/>
      <c r="K23" s="109"/>
      <c r="L23" s="109"/>
      <c r="M23" s="109"/>
      <c r="N23" s="109"/>
      <c r="O23" s="77"/>
      <c r="P23" s="81"/>
      <c r="Q23" s="82"/>
    </row>
    <row r="24" spans="1:17" ht="15.75">
      <c r="A24" s="21">
        <f>IF(F24&lt;&gt;"",1+MAX($A$6:A23),"")</f>
        <v>15</v>
      </c>
      <c r="B24" s="22"/>
      <c r="C24" s="60" t="s">
        <v>130</v>
      </c>
      <c r="D24" s="19">
        <f>ROUNDUP(D22/10,0)</f>
        <v>10</v>
      </c>
      <c r="E24" s="78">
        <v>0</v>
      </c>
      <c r="F24" s="19">
        <f t="shared" si="11"/>
        <v>10</v>
      </c>
      <c r="G24" s="19" t="s">
        <v>16</v>
      </c>
      <c r="H24" s="109"/>
      <c r="I24" s="109"/>
      <c r="J24" s="109"/>
      <c r="K24" s="109"/>
      <c r="L24" s="109"/>
      <c r="M24" s="109"/>
      <c r="N24" s="109"/>
      <c r="O24" s="77"/>
      <c r="P24" s="81"/>
      <c r="Q24" s="82"/>
    </row>
    <row r="25" spans="1:17" ht="15.75">
      <c r="A25" s="21">
        <f>IF(F25&lt;&gt;"",1+MAX($A$6:A24),"")</f>
        <v>16</v>
      </c>
      <c r="B25" s="22"/>
      <c r="C25" s="60" t="s">
        <v>131</v>
      </c>
      <c r="D25" s="19">
        <f>ROUNDUP(D22/9.2,0)+ROUNDUP(D22*4%,0)</f>
        <v>15</v>
      </c>
      <c r="E25" s="78">
        <v>0</v>
      </c>
      <c r="F25" s="19">
        <f t="shared" si="11"/>
        <v>15</v>
      </c>
      <c r="G25" s="19" t="s">
        <v>16</v>
      </c>
      <c r="H25" s="109"/>
      <c r="I25" s="109"/>
      <c r="J25" s="109"/>
      <c r="K25" s="109"/>
      <c r="L25" s="109"/>
      <c r="M25" s="109"/>
      <c r="N25" s="109"/>
      <c r="O25" s="77"/>
      <c r="P25" s="81"/>
      <c r="Q25" s="82"/>
    </row>
    <row r="26" spans="1:17" ht="15.75">
      <c r="A26" s="21">
        <f>IF(F26&lt;&gt;"",1+MAX($A$6:A25),"")</f>
        <v>17</v>
      </c>
      <c r="B26" s="22"/>
      <c r="C26" s="60" t="s">
        <v>32</v>
      </c>
      <c r="D26" s="19">
        <f>ROUNDUP(D22/9.2,0)+ROUNDUP(D22*9%,0)</f>
        <v>20</v>
      </c>
      <c r="E26" s="78">
        <v>0</v>
      </c>
      <c r="F26" s="19">
        <f t="shared" si="11"/>
        <v>20</v>
      </c>
      <c r="G26" s="19" t="s">
        <v>16</v>
      </c>
      <c r="H26" s="109"/>
      <c r="I26" s="109"/>
      <c r="J26" s="109"/>
      <c r="K26" s="109"/>
      <c r="L26" s="109"/>
      <c r="M26" s="109"/>
      <c r="N26" s="109"/>
      <c r="O26" s="77"/>
      <c r="P26" s="81"/>
      <c r="Q26" s="82"/>
    </row>
    <row r="27" spans="1:17" ht="15.75">
      <c r="A27" s="21">
        <f>IF(F27&lt;&gt;"",1+MAX($A$6:A26),"")</f>
        <v>18</v>
      </c>
      <c r="B27" s="22"/>
      <c r="C27" s="60" t="s">
        <v>33</v>
      </c>
      <c r="D27" s="19">
        <f>ROUNDUP(D22/9.2,0)+ROUNDUP(D22*9%,0)</f>
        <v>20</v>
      </c>
      <c r="E27" s="78">
        <v>0</v>
      </c>
      <c r="F27" s="19">
        <f t="shared" si="11"/>
        <v>20</v>
      </c>
      <c r="G27" s="19" t="s">
        <v>16</v>
      </c>
      <c r="H27" s="109"/>
      <c r="I27" s="109"/>
      <c r="J27" s="109"/>
      <c r="K27" s="109"/>
      <c r="L27" s="109"/>
      <c r="M27" s="109"/>
      <c r="N27" s="109"/>
      <c r="O27" s="77"/>
      <c r="P27" s="81"/>
      <c r="Q27" s="82"/>
    </row>
    <row r="28" spans="1:17" ht="15.75">
      <c r="A28" s="21">
        <f>IF(F28&lt;&gt;"",1+MAX($A$6:A27),"")</f>
        <v>19</v>
      </c>
      <c r="B28" s="22"/>
      <c r="C28" s="59" t="s">
        <v>132</v>
      </c>
      <c r="D28" s="19">
        <v>150</v>
      </c>
      <c r="E28" s="78">
        <v>0.1</v>
      </c>
      <c r="F28" s="19">
        <f t="shared" si="0"/>
        <v>165</v>
      </c>
      <c r="G28" s="19" t="s">
        <v>15</v>
      </c>
      <c r="H28" s="29">
        <v>7.7</v>
      </c>
      <c r="I28" s="29">
        <f t="shared" ref="I28" si="17">F28*H28</f>
        <v>1270.5</v>
      </c>
      <c r="J28" s="79">
        <v>0.17799999999999999</v>
      </c>
      <c r="K28" s="41">
        <f t="shared" ref="K28" si="18">$O$7</f>
        <v>40</v>
      </c>
      <c r="L28" s="80">
        <f t="shared" ref="L28" si="19">J28*F28</f>
        <v>29.369999999999997</v>
      </c>
      <c r="M28" s="29">
        <f t="shared" ref="M28" si="20">L28*K28</f>
        <v>1174.8</v>
      </c>
      <c r="N28" s="77">
        <f t="shared" ref="N28" si="21">M28+I28</f>
        <v>2445.3000000000002</v>
      </c>
      <c r="O28" s="77"/>
      <c r="P28" s="81"/>
      <c r="Q28" s="82"/>
    </row>
    <row r="29" spans="1:17" ht="15.75">
      <c r="A29" s="21">
        <f>IF(F29&lt;&gt;"",1+MAX($A$6:A28),"")</f>
        <v>20</v>
      </c>
      <c r="B29" s="22"/>
      <c r="C29" s="60" t="s">
        <v>133</v>
      </c>
      <c r="D29" s="19">
        <f>ROUNDUP(D28*8%,0)</f>
        <v>12</v>
      </c>
      <c r="E29" s="78">
        <v>0</v>
      </c>
      <c r="F29" s="19">
        <f t="shared" si="0"/>
        <v>12</v>
      </c>
      <c r="G29" s="19" t="s">
        <v>16</v>
      </c>
      <c r="H29" s="109"/>
      <c r="I29" s="109"/>
      <c r="J29" s="109"/>
      <c r="K29" s="109"/>
      <c r="L29" s="109"/>
      <c r="M29" s="109"/>
      <c r="N29" s="109"/>
      <c r="O29" s="77"/>
      <c r="P29" s="81"/>
      <c r="Q29" s="82"/>
    </row>
    <row r="30" spans="1:17" ht="15.75">
      <c r="A30" s="21">
        <f>IF(F30&lt;&gt;"",1+MAX($A$6:A29),"")</f>
        <v>21</v>
      </c>
      <c r="B30" s="22"/>
      <c r="C30" s="60" t="s">
        <v>134</v>
      </c>
      <c r="D30" s="19">
        <f>ROUNDUP(D28/10,0)</f>
        <v>15</v>
      </c>
      <c r="E30" s="78">
        <v>0</v>
      </c>
      <c r="F30" s="19">
        <f t="shared" si="0"/>
        <v>15</v>
      </c>
      <c r="G30" s="19" t="s">
        <v>16</v>
      </c>
      <c r="H30" s="109"/>
      <c r="I30" s="109"/>
      <c r="J30" s="109"/>
      <c r="K30" s="109"/>
      <c r="L30" s="109"/>
      <c r="M30" s="109"/>
      <c r="N30" s="109"/>
      <c r="O30" s="77"/>
      <c r="P30" s="81"/>
      <c r="Q30" s="82"/>
    </row>
    <row r="31" spans="1:17" ht="15.75">
      <c r="A31" s="21">
        <f>IF(F31&lt;&gt;"",1+MAX($A$6:A30),"")</f>
        <v>22</v>
      </c>
      <c r="B31" s="22"/>
      <c r="C31" s="60" t="s">
        <v>135</v>
      </c>
      <c r="D31" s="19">
        <f>ROUNDUP(D28/9.2,0)+ROUNDUP(D28*4%,0)</f>
        <v>23</v>
      </c>
      <c r="E31" s="78">
        <v>0</v>
      </c>
      <c r="F31" s="19">
        <f t="shared" si="0"/>
        <v>23</v>
      </c>
      <c r="G31" s="19" t="s">
        <v>16</v>
      </c>
      <c r="H31" s="109"/>
      <c r="I31" s="109"/>
      <c r="J31" s="109"/>
      <c r="K31" s="109"/>
      <c r="L31" s="109"/>
      <c r="M31" s="109"/>
      <c r="N31" s="109"/>
      <c r="O31" s="77"/>
      <c r="P31" s="81"/>
      <c r="Q31" s="82"/>
    </row>
    <row r="32" spans="1:17" ht="15.75">
      <c r="A32" s="21">
        <f>IF(F32&lt;&gt;"",1+MAX($A$6:A31),"")</f>
        <v>23</v>
      </c>
      <c r="B32" s="22"/>
      <c r="C32" s="60" t="s">
        <v>32</v>
      </c>
      <c r="D32" s="19">
        <f>ROUNDUP(D28/9.2,0)+ROUNDUP(D28*9%,0)</f>
        <v>31</v>
      </c>
      <c r="E32" s="78">
        <v>0</v>
      </c>
      <c r="F32" s="19">
        <f t="shared" si="0"/>
        <v>31</v>
      </c>
      <c r="G32" s="19" t="s">
        <v>16</v>
      </c>
      <c r="H32" s="109"/>
      <c r="I32" s="109"/>
      <c r="J32" s="109"/>
      <c r="K32" s="109"/>
      <c r="L32" s="109"/>
      <c r="M32" s="109"/>
      <c r="N32" s="109"/>
      <c r="O32" s="77"/>
      <c r="P32" s="81"/>
      <c r="Q32" s="82"/>
    </row>
    <row r="33" spans="1:17" ht="15.75">
      <c r="A33" s="21">
        <f>IF(F33&lt;&gt;"",1+MAX($A$6:A32),"")</f>
        <v>24</v>
      </c>
      <c r="B33" s="22"/>
      <c r="C33" s="60" t="s">
        <v>33</v>
      </c>
      <c r="D33" s="19">
        <f>ROUNDUP(D28/9.2,0)+ROUNDUP(D28*9%,0)</f>
        <v>31</v>
      </c>
      <c r="E33" s="78">
        <v>0</v>
      </c>
      <c r="F33" s="19">
        <f t="shared" si="0"/>
        <v>31</v>
      </c>
      <c r="G33" s="19" t="s">
        <v>16</v>
      </c>
      <c r="H33" s="109"/>
      <c r="I33" s="109"/>
      <c r="J33" s="109"/>
      <c r="K33" s="109"/>
      <c r="L33" s="109"/>
      <c r="M33" s="109"/>
      <c r="N33" s="109"/>
      <c r="O33" s="77"/>
      <c r="P33" s="81"/>
      <c r="Q33" s="82"/>
    </row>
    <row r="34" spans="1:17" ht="15.75">
      <c r="A34" s="21" t="str">
        <f>IF(F34&lt;&gt;"",1+MAX($A$6:A33),"")</f>
        <v/>
      </c>
      <c r="B34" s="22"/>
      <c r="C34" s="60"/>
      <c r="D34" s="19"/>
      <c r="E34" s="78"/>
      <c r="F34" s="19"/>
      <c r="G34" s="19"/>
      <c r="H34" s="29"/>
      <c r="I34" s="29"/>
      <c r="J34" s="29"/>
      <c r="K34" s="29"/>
      <c r="L34" s="29"/>
      <c r="M34" s="29"/>
      <c r="N34" s="29"/>
      <c r="O34" s="77"/>
      <c r="P34" s="81"/>
      <c r="Q34" s="82"/>
    </row>
    <row r="35" spans="1:17" ht="15.75">
      <c r="A35" s="21">
        <f>IF(F35&lt;&gt;"",1+MAX($A$6:A34),"")</f>
        <v>25</v>
      </c>
      <c r="B35" s="22"/>
      <c r="C35" s="59" t="s">
        <v>136</v>
      </c>
      <c r="D35" s="19">
        <v>150</v>
      </c>
      <c r="E35" s="78">
        <v>0.1</v>
      </c>
      <c r="F35" s="19">
        <f t="shared" ref="F35" si="22">(1+E35)*D35</f>
        <v>165</v>
      </c>
      <c r="G35" s="19" t="s">
        <v>15</v>
      </c>
      <c r="H35" s="29">
        <v>1.27</v>
      </c>
      <c r="I35" s="29">
        <f t="shared" ref="I35" si="23">F35*H35</f>
        <v>209.55</v>
      </c>
      <c r="J35" s="79">
        <v>5.7000000000000002E-2</v>
      </c>
      <c r="K35" s="41">
        <f t="shared" ref="K35:K36" si="24">$O$7</f>
        <v>40</v>
      </c>
      <c r="L35" s="80">
        <f t="shared" ref="L35" si="25">J35*F35</f>
        <v>9.4050000000000011</v>
      </c>
      <c r="M35" s="29">
        <f t="shared" ref="M35" si="26">L35*K35</f>
        <v>376.20000000000005</v>
      </c>
      <c r="N35" s="77">
        <f t="shared" ref="N35" si="27">M35+I35</f>
        <v>585.75</v>
      </c>
      <c r="O35" s="77"/>
      <c r="P35" s="81"/>
      <c r="Q35" s="82"/>
    </row>
    <row r="36" spans="1:17" ht="15.75">
      <c r="A36" s="21">
        <f>IF(F36&lt;&gt;"",1+MAX($A$6:A35),"")</f>
        <v>26</v>
      </c>
      <c r="B36" s="22"/>
      <c r="C36" s="59" t="s">
        <v>137</v>
      </c>
      <c r="D36" s="19">
        <v>300</v>
      </c>
      <c r="E36" s="78">
        <v>0.1</v>
      </c>
      <c r="F36" s="19">
        <f>(1+E36)*D36</f>
        <v>330</v>
      </c>
      <c r="G36" s="19" t="s">
        <v>15</v>
      </c>
      <c r="H36" s="29">
        <f>(1.59/2)*3</f>
        <v>2.3850000000000002</v>
      </c>
      <c r="I36" s="29">
        <f t="shared" ref="I36" si="28">F36*H36</f>
        <v>787.05000000000007</v>
      </c>
      <c r="J36" s="79">
        <f>(0.067/2)*3</f>
        <v>0.10050000000000001</v>
      </c>
      <c r="K36" s="41">
        <f t="shared" si="24"/>
        <v>40</v>
      </c>
      <c r="L36" s="80">
        <f t="shared" ref="L36" si="29">J36*F36</f>
        <v>33.164999999999999</v>
      </c>
      <c r="M36" s="29">
        <f t="shared" ref="M36" si="30">L36*K36</f>
        <v>1326.6</v>
      </c>
      <c r="N36" s="77">
        <f t="shared" ref="N36" si="31">M36+I36</f>
        <v>2113.65</v>
      </c>
      <c r="O36" s="77"/>
      <c r="P36" s="81"/>
      <c r="Q36" s="82"/>
    </row>
    <row r="37" spans="1:17" ht="15.75">
      <c r="A37" s="21" t="str">
        <f>IF(F37&lt;&gt;"",1+MAX($A$6:A36),"")</f>
        <v/>
      </c>
      <c r="B37" s="22"/>
      <c r="C37" s="59"/>
      <c r="D37" s="19"/>
      <c r="E37" s="78"/>
      <c r="F37" s="19"/>
      <c r="G37" s="19"/>
      <c r="H37" s="29"/>
      <c r="I37" s="29"/>
      <c r="J37" s="79"/>
      <c r="K37" s="41"/>
      <c r="L37" s="80"/>
      <c r="M37" s="29"/>
      <c r="N37" s="77"/>
      <c r="O37" s="77"/>
      <c r="P37" s="81"/>
      <c r="Q37" s="82"/>
    </row>
    <row r="38" spans="1:17" ht="15.75">
      <c r="A38" s="21" t="str">
        <f>IF(F38&lt;&gt;"",1+MAX($A$6:A37),"")</f>
        <v/>
      </c>
      <c r="B38" s="73"/>
      <c r="C38" s="57" t="s">
        <v>103</v>
      </c>
      <c r="D38" s="20"/>
      <c r="E38" s="74"/>
      <c r="F38" s="20"/>
      <c r="G38" s="19"/>
      <c r="H38" s="29"/>
      <c r="I38" s="19"/>
      <c r="J38" s="19"/>
      <c r="K38" s="41"/>
      <c r="L38" s="19"/>
      <c r="M38" s="76"/>
      <c r="N38" s="77"/>
      <c r="O38" s="77"/>
      <c r="P38" s="75"/>
    </row>
    <row r="39" spans="1:17" ht="15.75">
      <c r="A39" s="21">
        <f>IF(F39&lt;&gt;"",1+MAX($A$6:A38),"")</f>
        <v>27</v>
      </c>
      <c r="B39" s="22"/>
      <c r="C39" s="59" t="s">
        <v>104</v>
      </c>
      <c r="D39" s="19">
        <v>300</v>
      </c>
      <c r="E39" s="78">
        <v>0.1</v>
      </c>
      <c r="F39" s="19">
        <f>(1+E39)*D39</f>
        <v>330</v>
      </c>
      <c r="G39" s="19" t="s">
        <v>15</v>
      </c>
      <c r="H39" s="29">
        <f>5*(246/100)</f>
        <v>12.3</v>
      </c>
      <c r="I39" s="29">
        <f t="shared" ref="I39:I42" si="32">F39*H39</f>
        <v>4059.0000000000005</v>
      </c>
      <c r="J39" s="79">
        <f>5*(4/100)</f>
        <v>0.2</v>
      </c>
      <c r="K39" s="41">
        <f t="shared" ref="K39:K42" si="33">$O$7</f>
        <v>40</v>
      </c>
      <c r="L39" s="80">
        <f>J39*F39</f>
        <v>66</v>
      </c>
      <c r="M39" s="29">
        <f>L39*K39</f>
        <v>2640</v>
      </c>
      <c r="N39" s="77">
        <f>M39+I39</f>
        <v>6699</v>
      </c>
      <c r="O39" s="77"/>
      <c r="P39" s="81"/>
      <c r="Q39" s="82"/>
    </row>
    <row r="40" spans="1:17" ht="15.75">
      <c r="A40" s="21">
        <f>IF(F40&lt;&gt;"",1+MAX($A$6:A39),"")</f>
        <v>28</v>
      </c>
      <c r="B40" s="22"/>
      <c r="C40" s="59" t="s">
        <v>105</v>
      </c>
      <c r="D40" s="19">
        <v>150</v>
      </c>
      <c r="E40" s="78">
        <v>0.1</v>
      </c>
      <c r="F40" s="19">
        <f t="shared" ref="F40:F42" si="34">(1+E40)*D40</f>
        <v>165</v>
      </c>
      <c r="G40" s="19" t="s">
        <v>15</v>
      </c>
      <c r="H40" s="29">
        <f>2*(965/100)+(118/100)</f>
        <v>20.48</v>
      </c>
      <c r="I40" s="29">
        <f t="shared" si="32"/>
        <v>3379.2000000000003</v>
      </c>
      <c r="J40" s="79">
        <f>2*(5/100)+(1.6/100)</f>
        <v>0.11600000000000001</v>
      </c>
      <c r="K40" s="41">
        <f t="shared" si="33"/>
        <v>40</v>
      </c>
      <c r="L40" s="80">
        <f t="shared" ref="L40:L42" si="35">J40*F40</f>
        <v>19.14</v>
      </c>
      <c r="M40" s="29">
        <f t="shared" ref="M40:M42" si="36">L40*K40</f>
        <v>765.6</v>
      </c>
      <c r="N40" s="77">
        <f t="shared" ref="N40:N42" si="37">M40+I40</f>
        <v>4144.8</v>
      </c>
      <c r="O40" s="77"/>
      <c r="P40" s="81"/>
      <c r="Q40" s="82"/>
    </row>
    <row r="41" spans="1:17" ht="15.75">
      <c r="A41" s="21">
        <f>IF(F41&lt;&gt;"",1+MAX($A$6:A40),"")</f>
        <v>29</v>
      </c>
      <c r="B41" s="22"/>
      <c r="C41" s="59" t="s">
        <v>106</v>
      </c>
      <c r="D41" s="19">
        <v>150</v>
      </c>
      <c r="E41" s="78">
        <v>0.1</v>
      </c>
      <c r="F41" s="19">
        <f t="shared" si="34"/>
        <v>165</v>
      </c>
      <c r="G41" s="19" t="s">
        <v>15</v>
      </c>
      <c r="H41" s="29">
        <f>2*(174/100)+(57.5/100)</f>
        <v>4.0549999999999997</v>
      </c>
      <c r="I41" s="29">
        <f t="shared" si="32"/>
        <v>669.07499999999993</v>
      </c>
      <c r="J41" s="79">
        <f>2*(2/100)+(1.231/100)</f>
        <v>5.2310000000000002E-2</v>
      </c>
      <c r="K41" s="41">
        <f t="shared" si="33"/>
        <v>40</v>
      </c>
      <c r="L41" s="80">
        <f t="shared" si="35"/>
        <v>8.6311499999999999</v>
      </c>
      <c r="M41" s="29">
        <f t="shared" si="36"/>
        <v>345.24599999999998</v>
      </c>
      <c r="N41" s="77">
        <f t="shared" si="37"/>
        <v>1014.3209999999999</v>
      </c>
      <c r="O41" s="77"/>
      <c r="P41" s="81"/>
      <c r="Q41" s="82"/>
    </row>
    <row r="42" spans="1:17" ht="15.75">
      <c r="A42" s="21">
        <f>IF(F42&lt;&gt;"",1+MAX($A$6:A41),"")</f>
        <v>30</v>
      </c>
      <c r="B42" s="22"/>
      <c r="C42" s="59" t="s">
        <v>107</v>
      </c>
      <c r="D42" s="19">
        <v>100</v>
      </c>
      <c r="E42" s="78">
        <v>0.1</v>
      </c>
      <c r="F42" s="19">
        <f t="shared" si="34"/>
        <v>110.00000000000001</v>
      </c>
      <c r="G42" s="19" t="s">
        <v>15</v>
      </c>
      <c r="H42" s="29">
        <f>3*(670/100)+(174/100)</f>
        <v>21.84</v>
      </c>
      <c r="I42" s="29">
        <f t="shared" si="32"/>
        <v>2402.4</v>
      </c>
      <c r="J42" s="79">
        <f>3*(4.444/100)+(2/100)</f>
        <v>0.15331999999999998</v>
      </c>
      <c r="K42" s="41">
        <f t="shared" si="33"/>
        <v>40</v>
      </c>
      <c r="L42" s="80">
        <f t="shared" si="35"/>
        <v>16.865200000000002</v>
      </c>
      <c r="M42" s="29">
        <f t="shared" si="36"/>
        <v>674.60800000000006</v>
      </c>
      <c r="N42" s="77">
        <f t="shared" si="37"/>
        <v>3077.0080000000003</v>
      </c>
      <c r="O42" s="77"/>
      <c r="P42" s="81"/>
      <c r="Q42" s="82"/>
    </row>
    <row r="43" spans="1:17" ht="15.75">
      <c r="A43" s="21" t="str">
        <f>IF(F43&lt;&gt;"",1+MAX($A$6:A42),"")</f>
        <v/>
      </c>
      <c r="B43" s="22"/>
      <c r="C43" s="59"/>
      <c r="D43" s="19"/>
      <c r="E43" s="78"/>
      <c r="F43" s="19"/>
      <c r="G43" s="19"/>
      <c r="H43" s="29"/>
      <c r="I43" s="29"/>
      <c r="J43" s="79"/>
      <c r="K43" s="41"/>
      <c r="L43" s="80"/>
      <c r="M43" s="29"/>
      <c r="N43" s="77"/>
      <c r="O43" s="77"/>
      <c r="P43" s="81"/>
      <c r="Q43" s="82"/>
    </row>
    <row r="44" spans="1:17" ht="15.75">
      <c r="A44" s="21" t="str">
        <f>IF(F44&lt;&gt;"",1+MAX($A$6:A43),"")</f>
        <v/>
      </c>
      <c r="B44" s="73"/>
      <c r="C44" s="57" t="s">
        <v>102</v>
      </c>
      <c r="D44" s="20"/>
      <c r="E44" s="74"/>
      <c r="F44" s="20"/>
      <c r="G44" s="19"/>
      <c r="H44" s="29"/>
      <c r="I44" s="19"/>
      <c r="J44" s="19"/>
      <c r="K44" s="41"/>
      <c r="L44" s="19"/>
      <c r="M44" s="76"/>
      <c r="N44" s="77"/>
      <c r="O44" s="77"/>
      <c r="P44" s="75"/>
    </row>
    <row r="45" spans="1:17" ht="15.75">
      <c r="A45" s="21">
        <f>IF(F45&lt;&gt;"",1+MAX($A$6:A44),"")</f>
        <v>31</v>
      </c>
      <c r="B45" s="22"/>
      <c r="C45" s="59" t="s">
        <v>141</v>
      </c>
      <c r="D45" s="19">
        <v>3305</v>
      </c>
      <c r="E45" s="78">
        <v>0.1</v>
      </c>
      <c r="F45" s="19">
        <f>(1+E45)*D45</f>
        <v>3635.5000000000005</v>
      </c>
      <c r="G45" s="19" t="s">
        <v>15</v>
      </c>
      <c r="H45" s="29">
        <f>3*(22/100)</f>
        <v>0.66</v>
      </c>
      <c r="I45" s="29">
        <f t="shared" ref="I45" si="38">F45*H45</f>
        <v>2399.4300000000003</v>
      </c>
      <c r="J45" s="79">
        <f>3*(0.8/100)</f>
        <v>2.4E-2</v>
      </c>
      <c r="K45" s="41">
        <f t="shared" ref="K45:K55" si="39">$O$7</f>
        <v>40</v>
      </c>
      <c r="L45" s="80">
        <f>J45*F45</f>
        <v>87.25200000000001</v>
      </c>
      <c r="M45" s="29">
        <f>L45*K45</f>
        <v>3490.0800000000004</v>
      </c>
      <c r="N45" s="77">
        <f>M45+I45</f>
        <v>5889.51</v>
      </c>
      <c r="O45" s="77"/>
      <c r="P45" s="81"/>
      <c r="Q45" s="82"/>
    </row>
    <row r="46" spans="1:17" ht="15.75">
      <c r="A46" s="21">
        <f>IF(F46&lt;&gt;"",1+MAX($A$6:A45),"")</f>
        <v>32</v>
      </c>
      <c r="B46" s="22"/>
      <c r="C46" s="59" t="s">
        <v>120</v>
      </c>
      <c r="D46" s="19">
        <v>1850</v>
      </c>
      <c r="E46" s="78">
        <v>0.1</v>
      </c>
      <c r="F46" s="19">
        <f>(1+E46)*D46</f>
        <v>2035.0000000000002</v>
      </c>
      <c r="G46" s="19" t="s">
        <v>15</v>
      </c>
      <c r="H46" s="83">
        <f t="shared" ref="H46:H48" si="40">3*(22/100)</f>
        <v>0.66</v>
      </c>
      <c r="I46" s="83">
        <f t="shared" ref="I46:I48" si="41">F46*H46</f>
        <v>1343.1000000000001</v>
      </c>
      <c r="J46" s="79">
        <f t="shared" ref="J46:J48" si="42">3*(0.8/100)</f>
        <v>2.4E-2</v>
      </c>
      <c r="K46" s="41">
        <f t="shared" si="39"/>
        <v>40</v>
      </c>
      <c r="L46" s="80">
        <f>J46*F46</f>
        <v>48.84</v>
      </c>
      <c r="M46" s="29">
        <f>L46*K46</f>
        <v>1953.6000000000001</v>
      </c>
      <c r="N46" s="77">
        <f>M46+I46</f>
        <v>3296.7000000000003</v>
      </c>
      <c r="O46" s="77"/>
      <c r="P46" s="81"/>
      <c r="Q46" s="82"/>
    </row>
    <row r="47" spans="1:17" ht="15.75">
      <c r="A47" s="21">
        <f>IF(F47&lt;&gt;"",1+MAX($A$6:A46),"")</f>
        <v>33</v>
      </c>
      <c r="B47" s="22"/>
      <c r="C47" s="59" t="s">
        <v>121</v>
      </c>
      <c r="D47" s="19">
        <v>503</v>
      </c>
      <c r="E47" s="78">
        <v>0.1</v>
      </c>
      <c r="F47" s="19">
        <f t="shared" ref="F47" si="43">(1+E47)*D47</f>
        <v>553.30000000000007</v>
      </c>
      <c r="G47" s="19" t="s">
        <v>15</v>
      </c>
      <c r="H47" s="83">
        <f t="shared" si="40"/>
        <v>0.66</v>
      </c>
      <c r="I47" s="83">
        <f t="shared" si="41"/>
        <v>365.17800000000005</v>
      </c>
      <c r="J47" s="79">
        <f t="shared" si="42"/>
        <v>2.4E-2</v>
      </c>
      <c r="K47" s="41">
        <f t="shared" si="39"/>
        <v>40</v>
      </c>
      <c r="L47" s="80">
        <f t="shared" ref="L47" si="44">J47*F47</f>
        <v>13.279200000000001</v>
      </c>
      <c r="M47" s="29">
        <f t="shared" ref="M47" si="45">L47*K47</f>
        <v>531.16800000000001</v>
      </c>
      <c r="N47" s="77">
        <f t="shared" ref="N47" si="46">M47+I47</f>
        <v>896.346</v>
      </c>
      <c r="O47" s="77"/>
      <c r="P47" s="81"/>
      <c r="Q47" s="82"/>
    </row>
    <row r="48" spans="1:17" ht="15.75">
      <c r="A48" s="21">
        <f>IF(F48&lt;&gt;"",1+MAX($A$6:A47),"")</f>
        <v>34</v>
      </c>
      <c r="B48" s="22"/>
      <c r="C48" s="59" t="s">
        <v>118</v>
      </c>
      <c r="D48" s="19">
        <v>630</v>
      </c>
      <c r="E48" s="78">
        <v>0.1</v>
      </c>
      <c r="F48" s="19">
        <f t="shared" ref="F48:F54" si="47">(1+E48)*D48</f>
        <v>693</v>
      </c>
      <c r="G48" s="19" t="s">
        <v>15</v>
      </c>
      <c r="H48" s="83">
        <f t="shared" si="40"/>
        <v>0.66</v>
      </c>
      <c r="I48" s="83">
        <f t="shared" si="41"/>
        <v>457.38</v>
      </c>
      <c r="J48" s="79">
        <f t="shared" si="42"/>
        <v>2.4E-2</v>
      </c>
      <c r="K48" s="41">
        <f t="shared" si="39"/>
        <v>40</v>
      </c>
      <c r="L48" s="80">
        <f t="shared" ref="L48:L54" si="48">J48*F48</f>
        <v>16.632000000000001</v>
      </c>
      <c r="M48" s="29">
        <f t="shared" ref="M48:M54" si="49">L48*K48</f>
        <v>665.28000000000009</v>
      </c>
      <c r="N48" s="77">
        <f t="shared" ref="N48:N54" si="50">M48+I48</f>
        <v>1122.6600000000001</v>
      </c>
      <c r="O48" s="77"/>
      <c r="P48" s="81"/>
      <c r="Q48" s="82"/>
    </row>
    <row r="49" spans="1:17" ht="15.75">
      <c r="A49" s="21">
        <f>IF(F49&lt;&gt;"",1+MAX($A$6:A48),"")</f>
        <v>35</v>
      </c>
      <c r="B49" s="22"/>
      <c r="C49" s="59" t="s">
        <v>122</v>
      </c>
      <c r="D49" s="19">
        <v>50</v>
      </c>
      <c r="E49" s="78">
        <v>0.1</v>
      </c>
      <c r="F49" s="19">
        <f t="shared" si="47"/>
        <v>55.000000000000007</v>
      </c>
      <c r="G49" s="19" t="s">
        <v>15</v>
      </c>
      <c r="H49" s="29">
        <f>3*(13.75/100)</f>
        <v>0.41250000000000003</v>
      </c>
      <c r="I49" s="29">
        <f t="shared" ref="I49" si="51">F49*H49</f>
        <v>22.687500000000004</v>
      </c>
      <c r="J49" s="79">
        <f>3*(0.727/100)</f>
        <v>2.181E-2</v>
      </c>
      <c r="K49" s="41">
        <f t="shared" si="39"/>
        <v>40</v>
      </c>
      <c r="L49" s="80">
        <f t="shared" si="48"/>
        <v>1.1995500000000001</v>
      </c>
      <c r="M49" s="29">
        <f t="shared" si="49"/>
        <v>47.982000000000006</v>
      </c>
      <c r="N49" s="77">
        <f t="shared" si="50"/>
        <v>70.669500000000014</v>
      </c>
      <c r="O49" s="77"/>
      <c r="P49" s="81"/>
      <c r="Q49" s="82"/>
    </row>
    <row r="50" spans="1:17" ht="15.75">
      <c r="A50" s="21">
        <f>IF(F50&lt;&gt;"",1+MAX($A$6:A49),"")</f>
        <v>36</v>
      </c>
      <c r="B50" s="22"/>
      <c r="C50" s="59" t="s">
        <v>123</v>
      </c>
      <c r="D50" s="19">
        <v>435.22</v>
      </c>
      <c r="E50" s="78">
        <v>0.1</v>
      </c>
      <c r="F50" s="19">
        <f t="shared" si="47"/>
        <v>478.74200000000008</v>
      </c>
      <c r="G50" s="19" t="s">
        <v>15</v>
      </c>
      <c r="H50" s="83">
        <f t="shared" ref="H50:H55" si="52">3*(13.75/100)</f>
        <v>0.41250000000000003</v>
      </c>
      <c r="I50" s="83">
        <f t="shared" ref="I50:I55" si="53">F50*H50</f>
        <v>197.48107500000006</v>
      </c>
      <c r="J50" s="79">
        <f t="shared" ref="J50:J55" si="54">3*(0.727/100)</f>
        <v>2.181E-2</v>
      </c>
      <c r="K50" s="41">
        <f t="shared" si="39"/>
        <v>40</v>
      </c>
      <c r="L50" s="80">
        <f t="shared" si="48"/>
        <v>10.441363020000001</v>
      </c>
      <c r="M50" s="29">
        <f t="shared" si="49"/>
        <v>417.6545208</v>
      </c>
      <c r="N50" s="77">
        <f t="shared" si="50"/>
        <v>615.13559580000003</v>
      </c>
      <c r="O50" s="77"/>
      <c r="P50" s="81"/>
      <c r="Q50" s="82"/>
    </row>
    <row r="51" spans="1:17" ht="15.75">
      <c r="A51" s="21">
        <f>IF(F51&lt;&gt;"",1+MAX($A$6:A50),"")</f>
        <v>37</v>
      </c>
      <c r="B51" s="22"/>
      <c r="C51" s="59" t="s">
        <v>124</v>
      </c>
      <c r="D51" s="19">
        <v>5455</v>
      </c>
      <c r="E51" s="78">
        <v>0.1</v>
      </c>
      <c r="F51" s="19">
        <f t="shared" si="47"/>
        <v>6000.5000000000009</v>
      </c>
      <c r="G51" s="19" t="s">
        <v>15</v>
      </c>
      <c r="H51" s="83">
        <f t="shared" si="52"/>
        <v>0.41250000000000003</v>
      </c>
      <c r="I51" s="83">
        <f t="shared" si="53"/>
        <v>2475.2062500000006</v>
      </c>
      <c r="J51" s="79">
        <f t="shared" si="54"/>
        <v>2.181E-2</v>
      </c>
      <c r="K51" s="41">
        <f t="shared" si="39"/>
        <v>40</v>
      </c>
      <c r="L51" s="80">
        <f t="shared" si="48"/>
        <v>130.87090500000002</v>
      </c>
      <c r="M51" s="29">
        <f t="shared" si="49"/>
        <v>5234.8362000000006</v>
      </c>
      <c r="N51" s="77">
        <f t="shared" si="50"/>
        <v>7710.0424500000008</v>
      </c>
      <c r="O51" s="77"/>
      <c r="P51" s="81"/>
      <c r="Q51" s="82"/>
    </row>
    <row r="52" spans="1:17" ht="15.75">
      <c r="A52" s="21">
        <f>IF(F52&lt;&gt;"",1+MAX($A$6:A51),"")</f>
        <v>38</v>
      </c>
      <c r="B52" s="22"/>
      <c r="C52" s="59" t="s">
        <v>125</v>
      </c>
      <c r="D52" s="19">
        <v>4000</v>
      </c>
      <c r="E52" s="78">
        <v>0.1</v>
      </c>
      <c r="F52" s="19">
        <f t="shared" si="47"/>
        <v>4400</v>
      </c>
      <c r="G52" s="19" t="s">
        <v>15</v>
      </c>
      <c r="H52" s="83">
        <f t="shared" si="52"/>
        <v>0.41250000000000003</v>
      </c>
      <c r="I52" s="83">
        <f t="shared" si="53"/>
        <v>1815.0000000000002</v>
      </c>
      <c r="J52" s="79">
        <f t="shared" si="54"/>
        <v>2.181E-2</v>
      </c>
      <c r="K52" s="41">
        <f t="shared" si="39"/>
        <v>40</v>
      </c>
      <c r="L52" s="80">
        <f t="shared" si="48"/>
        <v>95.963999999999999</v>
      </c>
      <c r="M52" s="29">
        <f t="shared" si="49"/>
        <v>3838.56</v>
      </c>
      <c r="N52" s="77">
        <f t="shared" si="50"/>
        <v>5653.56</v>
      </c>
      <c r="O52" s="77"/>
      <c r="P52" s="81"/>
      <c r="Q52" s="82"/>
    </row>
    <row r="53" spans="1:17" ht="15.75">
      <c r="A53" s="21">
        <f>IF(F53&lt;&gt;"",1+MAX($A$6:A52),"")</f>
        <v>39</v>
      </c>
      <c r="B53" s="22"/>
      <c r="C53" s="59" t="s">
        <v>126</v>
      </c>
      <c r="D53" s="19">
        <v>95</v>
      </c>
      <c r="E53" s="78">
        <v>0.1</v>
      </c>
      <c r="F53" s="19">
        <f t="shared" si="47"/>
        <v>104.50000000000001</v>
      </c>
      <c r="G53" s="19" t="s">
        <v>15</v>
      </c>
      <c r="H53" s="83">
        <f t="shared" si="52"/>
        <v>0.41250000000000003</v>
      </c>
      <c r="I53" s="83">
        <f t="shared" si="53"/>
        <v>43.10625000000001</v>
      </c>
      <c r="J53" s="79">
        <f t="shared" si="54"/>
        <v>2.181E-2</v>
      </c>
      <c r="K53" s="41">
        <f t="shared" si="39"/>
        <v>40</v>
      </c>
      <c r="L53" s="80">
        <f t="shared" si="48"/>
        <v>2.2791450000000002</v>
      </c>
      <c r="M53" s="29">
        <f t="shared" si="49"/>
        <v>91.165800000000004</v>
      </c>
      <c r="N53" s="77">
        <f t="shared" si="50"/>
        <v>134.27205000000001</v>
      </c>
      <c r="O53" s="77"/>
      <c r="P53" s="81"/>
      <c r="Q53" s="82"/>
    </row>
    <row r="54" spans="1:17" ht="15.75">
      <c r="A54" s="21">
        <f>IF(F54&lt;&gt;"",1+MAX($A$6:A53),"")</f>
        <v>40</v>
      </c>
      <c r="B54" s="22"/>
      <c r="C54" s="59" t="s">
        <v>127</v>
      </c>
      <c r="D54" s="19">
        <v>218.13</v>
      </c>
      <c r="E54" s="78">
        <v>0.1</v>
      </c>
      <c r="F54" s="19">
        <f t="shared" si="47"/>
        <v>239.94300000000001</v>
      </c>
      <c r="G54" s="19" t="s">
        <v>15</v>
      </c>
      <c r="H54" s="83">
        <f t="shared" si="52"/>
        <v>0.41250000000000003</v>
      </c>
      <c r="I54" s="83">
        <f t="shared" si="53"/>
        <v>98.976487500000019</v>
      </c>
      <c r="J54" s="79">
        <f t="shared" si="54"/>
        <v>2.181E-2</v>
      </c>
      <c r="K54" s="41">
        <f t="shared" si="39"/>
        <v>40</v>
      </c>
      <c r="L54" s="80">
        <f t="shared" si="48"/>
        <v>5.2331568300000004</v>
      </c>
      <c r="M54" s="29">
        <f t="shared" si="49"/>
        <v>209.3262732</v>
      </c>
      <c r="N54" s="77">
        <f t="shared" si="50"/>
        <v>308.30276070000002</v>
      </c>
      <c r="O54" s="77"/>
      <c r="P54" s="81"/>
      <c r="Q54" s="82"/>
    </row>
    <row r="55" spans="1:17" ht="15.75">
      <c r="A55" s="21">
        <f>IF(F55&lt;&gt;"",1+MAX($A$6:A54),"")</f>
        <v>41</v>
      </c>
      <c r="B55" s="22"/>
      <c r="C55" s="59" t="s">
        <v>119</v>
      </c>
      <c r="D55" s="19">
        <v>270</v>
      </c>
      <c r="E55" s="78">
        <v>0.1</v>
      </c>
      <c r="F55" s="19">
        <f t="shared" ref="F55" si="55">(1+E55)*D55</f>
        <v>297</v>
      </c>
      <c r="G55" s="19" t="s">
        <v>15</v>
      </c>
      <c r="H55" s="83">
        <f t="shared" si="52"/>
        <v>0.41250000000000003</v>
      </c>
      <c r="I55" s="83">
        <f t="shared" si="53"/>
        <v>122.5125</v>
      </c>
      <c r="J55" s="79">
        <f t="shared" si="54"/>
        <v>2.181E-2</v>
      </c>
      <c r="K55" s="41">
        <f t="shared" si="39"/>
        <v>40</v>
      </c>
      <c r="L55" s="80">
        <f t="shared" ref="L55" si="56">J55*F55</f>
        <v>6.4775700000000001</v>
      </c>
      <c r="M55" s="29">
        <f t="shared" ref="M55" si="57">L55*K55</f>
        <v>259.1028</v>
      </c>
      <c r="N55" s="77">
        <f t="shared" ref="N55" si="58">M55+I55</f>
        <v>381.61529999999999</v>
      </c>
      <c r="O55" s="77"/>
      <c r="P55" s="81"/>
      <c r="Q55" s="82"/>
    </row>
    <row r="56" spans="1:17" ht="15.75">
      <c r="A56" s="21" t="str">
        <f>IF(F56&lt;&gt;"",1+MAX($A$6:A55),"")</f>
        <v/>
      </c>
      <c r="B56" s="22"/>
      <c r="C56" s="59"/>
      <c r="D56" s="19"/>
      <c r="E56" s="78"/>
      <c r="F56" s="19"/>
      <c r="G56" s="19"/>
      <c r="H56" s="29"/>
      <c r="I56" s="29"/>
      <c r="J56" s="79"/>
      <c r="K56" s="41"/>
      <c r="L56" s="80"/>
      <c r="M56" s="29"/>
      <c r="N56" s="77"/>
      <c r="O56" s="77"/>
      <c r="P56" s="81"/>
      <c r="Q56" s="82"/>
    </row>
    <row r="57" spans="1:17" ht="15.75">
      <c r="A57" s="21" t="str">
        <f>IF(F57&lt;&gt;"",1+MAX($A$6:A56),"")</f>
        <v/>
      </c>
      <c r="B57" s="73"/>
      <c r="C57" s="57" t="s">
        <v>101</v>
      </c>
      <c r="D57" s="20"/>
      <c r="E57" s="74"/>
      <c r="F57" s="20"/>
      <c r="G57" s="19"/>
      <c r="H57" s="29"/>
      <c r="I57" s="19"/>
      <c r="J57" s="19"/>
      <c r="K57" s="41"/>
      <c r="L57" s="19"/>
      <c r="M57" s="76"/>
      <c r="N57" s="77"/>
      <c r="O57" s="77"/>
      <c r="P57" s="75"/>
    </row>
    <row r="58" spans="1:17" ht="15.75">
      <c r="A58" s="21">
        <f>IF(F58&lt;&gt;"",1+MAX($A$6:A57),"")</f>
        <v>42</v>
      </c>
      <c r="B58" s="22"/>
      <c r="C58" s="59" t="s">
        <v>108</v>
      </c>
      <c r="D58" s="19">
        <v>25</v>
      </c>
      <c r="E58" s="78">
        <v>0.1</v>
      </c>
      <c r="F58" s="19">
        <f>(1+E58)*D58</f>
        <v>27.500000000000004</v>
      </c>
      <c r="G58" s="19" t="s">
        <v>15</v>
      </c>
      <c r="H58" s="29">
        <f>118/100</f>
        <v>1.18</v>
      </c>
      <c r="I58" s="29">
        <f t="shared" ref="I58:I61" si="59">F58*H58</f>
        <v>32.450000000000003</v>
      </c>
      <c r="J58" s="79">
        <f>1.6/100</f>
        <v>1.6E-2</v>
      </c>
      <c r="K58" s="41">
        <f t="shared" ref="K58:K61" si="60">$O$7</f>
        <v>40</v>
      </c>
      <c r="L58" s="80">
        <f>J58*F58</f>
        <v>0.44000000000000006</v>
      </c>
      <c r="M58" s="29">
        <f>L58*K58</f>
        <v>17.600000000000001</v>
      </c>
      <c r="N58" s="77">
        <f>M58+I58</f>
        <v>50.050000000000004</v>
      </c>
      <c r="O58" s="77"/>
      <c r="P58" s="81"/>
      <c r="Q58" s="82"/>
    </row>
    <row r="59" spans="1:17" ht="15.75">
      <c r="A59" s="21">
        <f>IF(F59&lt;&gt;"",1+MAX($A$6:A58),"")</f>
        <v>43</v>
      </c>
      <c r="B59" s="22"/>
      <c r="C59" s="59" t="s">
        <v>109</v>
      </c>
      <c r="D59" s="19">
        <v>10</v>
      </c>
      <c r="E59" s="78">
        <v>0.1</v>
      </c>
      <c r="F59" s="19">
        <f t="shared" ref="F59:F61" si="61">(1+E59)*D59</f>
        <v>11</v>
      </c>
      <c r="G59" s="19" t="s">
        <v>15</v>
      </c>
      <c r="H59" s="29">
        <f>57.5/100</f>
        <v>0.57499999999999996</v>
      </c>
      <c r="I59" s="29">
        <f t="shared" si="59"/>
        <v>6.3249999999999993</v>
      </c>
      <c r="J59" s="79">
        <f>1.231/100</f>
        <v>1.2310000000000001E-2</v>
      </c>
      <c r="K59" s="41">
        <f t="shared" si="60"/>
        <v>40</v>
      </c>
      <c r="L59" s="80">
        <f t="shared" ref="L59:L61" si="62">J59*F59</f>
        <v>0.13541000000000003</v>
      </c>
      <c r="M59" s="29">
        <f t="shared" ref="M59:M61" si="63">L59*K59</f>
        <v>5.4164000000000012</v>
      </c>
      <c r="N59" s="77">
        <f t="shared" ref="N59:N61" si="64">M59+I59</f>
        <v>11.741400000000001</v>
      </c>
      <c r="O59" s="77"/>
      <c r="P59" s="81"/>
      <c r="Q59" s="82"/>
    </row>
    <row r="60" spans="1:17" ht="15.75">
      <c r="A60" s="21">
        <f>IF(F60&lt;&gt;"",1+MAX($A$6:A59),"")</f>
        <v>44</v>
      </c>
      <c r="B60" s="22"/>
      <c r="C60" s="59" t="s">
        <v>110</v>
      </c>
      <c r="D60" s="19">
        <v>2</v>
      </c>
      <c r="E60" s="78">
        <v>0</v>
      </c>
      <c r="F60" s="19">
        <f t="shared" si="61"/>
        <v>2</v>
      </c>
      <c r="G60" s="19" t="s">
        <v>16</v>
      </c>
      <c r="H60" s="29">
        <v>36</v>
      </c>
      <c r="I60" s="29">
        <f t="shared" si="59"/>
        <v>72</v>
      </c>
      <c r="J60" s="79">
        <v>1.5089999999999999</v>
      </c>
      <c r="K60" s="41">
        <f t="shared" si="60"/>
        <v>40</v>
      </c>
      <c r="L60" s="80">
        <f t="shared" si="62"/>
        <v>3.0179999999999998</v>
      </c>
      <c r="M60" s="29">
        <f t="shared" si="63"/>
        <v>120.72</v>
      </c>
      <c r="N60" s="77">
        <f t="shared" si="64"/>
        <v>192.72</v>
      </c>
      <c r="O60" s="77"/>
      <c r="P60" s="81"/>
      <c r="Q60" s="82"/>
    </row>
    <row r="61" spans="1:17" ht="15.75">
      <c r="A61" s="21">
        <f>IF(F61&lt;&gt;"",1+MAX($A$6:A60),"")</f>
        <v>45</v>
      </c>
      <c r="B61" s="22"/>
      <c r="C61" s="59" t="s">
        <v>111</v>
      </c>
      <c r="D61" s="19">
        <v>1</v>
      </c>
      <c r="E61" s="78">
        <v>0</v>
      </c>
      <c r="F61" s="19">
        <f t="shared" si="61"/>
        <v>1</v>
      </c>
      <c r="G61" s="19" t="s">
        <v>16</v>
      </c>
      <c r="H61" s="29">
        <v>110.56</v>
      </c>
      <c r="I61" s="29">
        <f t="shared" si="59"/>
        <v>110.56</v>
      </c>
      <c r="J61" s="79">
        <v>1</v>
      </c>
      <c r="K61" s="41">
        <f t="shared" si="60"/>
        <v>40</v>
      </c>
      <c r="L61" s="80">
        <f t="shared" si="62"/>
        <v>1</v>
      </c>
      <c r="M61" s="29">
        <f t="shared" si="63"/>
        <v>40</v>
      </c>
      <c r="N61" s="77">
        <f t="shared" si="64"/>
        <v>150.56</v>
      </c>
      <c r="O61" s="77"/>
      <c r="P61" s="81"/>
      <c r="Q61" s="82"/>
    </row>
    <row r="62" spans="1:17" ht="15.75">
      <c r="A62" s="21" t="str">
        <f>IF(F62&lt;&gt;"",1+MAX($A$6:A61),"")</f>
        <v/>
      </c>
      <c r="B62" s="22"/>
      <c r="C62" s="59"/>
      <c r="D62" s="19"/>
      <c r="E62" s="78"/>
      <c r="F62" s="19"/>
      <c r="G62" s="19"/>
      <c r="H62" s="29"/>
      <c r="I62" s="29"/>
      <c r="J62" s="79"/>
      <c r="K62" s="41"/>
      <c r="L62" s="80"/>
      <c r="M62" s="29"/>
      <c r="N62" s="77"/>
      <c r="O62" s="77"/>
      <c r="P62" s="81"/>
      <c r="Q62" s="82"/>
    </row>
    <row r="63" spans="1:17" ht="15.75">
      <c r="A63" s="21" t="str">
        <f>IF(F63&lt;&gt;"",1+MAX($A$6:A62),"")</f>
        <v/>
      </c>
      <c r="B63" s="73"/>
      <c r="C63" s="57" t="s">
        <v>19</v>
      </c>
      <c r="D63" s="20"/>
      <c r="E63" s="74"/>
      <c r="F63" s="20"/>
      <c r="G63" s="19"/>
      <c r="H63" s="29"/>
      <c r="I63" s="19"/>
      <c r="J63" s="19"/>
      <c r="K63" s="41"/>
      <c r="L63" s="19"/>
      <c r="M63" s="76"/>
      <c r="N63" s="77"/>
      <c r="O63" s="77"/>
      <c r="P63" s="75"/>
    </row>
    <row r="64" spans="1:17" ht="45">
      <c r="A64" s="21">
        <f>IF(F64&lt;&gt;"",1+MAX($A$6:A63),"")</f>
        <v>46</v>
      </c>
      <c r="B64" s="22"/>
      <c r="C64" s="56" t="s">
        <v>47</v>
      </c>
      <c r="D64" s="20">
        <v>208</v>
      </c>
      <c r="E64" s="78">
        <v>0</v>
      </c>
      <c r="F64" s="19">
        <f t="shared" ref="F64:F136" si="65">(1+E64)*D64</f>
        <v>208</v>
      </c>
      <c r="G64" s="19" t="s">
        <v>16</v>
      </c>
      <c r="H64" s="89">
        <v>168.95</v>
      </c>
      <c r="I64" s="89">
        <v>35141.599999999999</v>
      </c>
      <c r="J64" s="88">
        <v>1.4810000000000001</v>
      </c>
      <c r="K64" s="41">
        <f t="shared" ref="K64:K75" si="66">$O$7</f>
        <v>40</v>
      </c>
      <c r="L64" s="80">
        <f t="shared" ref="L64:L136" si="67">J64*F64</f>
        <v>308.048</v>
      </c>
      <c r="M64" s="29">
        <f t="shared" ref="M64:M136" si="68">L64*K64</f>
        <v>12321.92</v>
      </c>
      <c r="N64" s="77">
        <f t="shared" ref="N64:N136" si="69">M64+I64</f>
        <v>47463.519999999997</v>
      </c>
      <c r="O64" s="77"/>
      <c r="P64" s="81"/>
      <c r="Q64" s="82"/>
    </row>
    <row r="65" spans="1:17" ht="45">
      <c r="A65" s="21">
        <f>IF(F65&lt;&gt;"",1+MAX($A$6:A64),"")</f>
        <v>47</v>
      </c>
      <c r="B65" s="22"/>
      <c r="C65" s="56" t="s">
        <v>48</v>
      </c>
      <c r="D65" s="20">
        <v>29</v>
      </c>
      <c r="E65" s="78">
        <v>0</v>
      </c>
      <c r="F65" s="19">
        <f t="shared" si="65"/>
        <v>29</v>
      </c>
      <c r="G65" s="19" t="s">
        <v>16</v>
      </c>
      <c r="H65" s="89">
        <v>168.95</v>
      </c>
      <c r="I65" s="89">
        <v>4899.5499999999993</v>
      </c>
      <c r="J65" s="88">
        <v>1.4810000000000001</v>
      </c>
      <c r="K65" s="41">
        <f t="shared" si="66"/>
        <v>40</v>
      </c>
      <c r="L65" s="80">
        <f t="shared" si="67"/>
        <v>42.949000000000005</v>
      </c>
      <c r="M65" s="29">
        <f t="shared" si="68"/>
        <v>1717.9600000000003</v>
      </c>
      <c r="N65" s="77">
        <f t="shared" si="69"/>
        <v>6617.5099999999993</v>
      </c>
      <c r="O65" s="77"/>
      <c r="P65" s="81"/>
      <c r="Q65" s="82"/>
    </row>
    <row r="66" spans="1:17" ht="60">
      <c r="A66" s="21">
        <f>IF(F66&lt;&gt;"",1+MAX($A$6:A65),"")</f>
        <v>48</v>
      </c>
      <c r="B66" s="22"/>
      <c r="C66" s="56" t="s">
        <v>49</v>
      </c>
      <c r="D66" s="20">
        <v>85</v>
      </c>
      <c r="E66" s="78">
        <v>0</v>
      </c>
      <c r="F66" s="19">
        <f t="shared" si="65"/>
        <v>85</v>
      </c>
      <c r="G66" s="19" t="s">
        <v>16</v>
      </c>
      <c r="H66" s="89">
        <v>223.95</v>
      </c>
      <c r="I66" s="89">
        <v>19035.75</v>
      </c>
      <c r="J66" s="88">
        <v>1.4810000000000001</v>
      </c>
      <c r="K66" s="41">
        <f t="shared" si="66"/>
        <v>40</v>
      </c>
      <c r="L66" s="80">
        <f t="shared" si="67"/>
        <v>125.88500000000001</v>
      </c>
      <c r="M66" s="29">
        <f t="shared" si="68"/>
        <v>5035.4000000000005</v>
      </c>
      <c r="N66" s="77">
        <f t="shared" si="69"/>
        <v>24071.15</v>
      </c>
      <c r="O66" s="77"/>
      <c r="P66" s="81"/>
      <c r="Q66" s="82"/>
    </row>
    <row r="67" spans="1:17" ht="60">
      <c r="A67" s="21">
        <f>IF(F67&lt;&gt;"",1+MAX($A$6:A66),"")</f>
        <v>49</v>
      </c>
      <c r="B67" s="22"/>
      <c r="C67" s="56" t="s">
        <v>50</v>
      </c>
      <c r="D67" s="20">
        <v>44</v>
      </c>
      <c r="E67" s="78">
        <v>0</v>
      </c>
      <c r="F67" s="19">
        <f t="shared" si="65"/>
        <v>44</v>
      </c>
      <c r="G67" s="19" t="s">
        <v>16</v>
      </c>
      <c r="H67" s="89">
        <v>223.95</v>
      </c>
      <c r="I67" s="89">
        <v>9853.7999999999993</v>
      </c>
      <c r="J67" s="88">
        <v>1.4810000000000001</v>
      </c>
      <c r="K67" s="41">
        <f t="shared" si="66"/>
        <v>40</v>
      </c>
      <c r="L67" s="80">
        <f t="shared" si="67"/>
        <v>65.164000000000001</v>
      </c>
      <c r="M67" s="29">
        <f t="shared" si="68"/>
        <v>2606.56</v>
      </c>
      <c r="N67" s="77">
        <f t="shared" si="69"/>
        <v>12460.359999999999</v>
      </c>
      <c r="O67" s="77"/>
      <c r="P67" s="81"/>
      <c r="Q67" s="82"/>
    </row>
    <row r="68" spans="1:17" ht="45">
      <c r="A68" s="21">
        <f>IF(F68&lt;&gt;"",1+MAX($A$6:A67),"")</f>
        <v>50</v>
      </c>
      <c r="B68" s="22"/>
      <c r="C68" s="56" t="s">
        <v>51</v>
      </c>
      <c r="D68" s="20">
        <v>1</v>
      </c>
      <c r="E68" s="78">
        <v>0</v>
      </c>
      <c r="F68" s="19">
        <f t="shared" si="65"/>
        <v>1</v>
      </c>
      <c r="G68" s="19" t="s">
        <v>16</v>
      </c>
      <c r="H68" s="89">
        <v>168.95</v>
      </c>
      <c r="I68" s="89">
        <v>168.95</v>
      </c>
      <c r="J68" s="88">
        <v>1.4810000000000001</v>
      </c>
      <c r="K68" s="41">
        <f t="shared" si="66"/>
        <v>40</v>
      </c>
      <c r="L68" s="80">
        <f t="shared" si="67"/>
        <v>1.4810000000000001</v>
      </c>
      <c r="M68" s="29">
        <f t="shared" si="68"/>
        <v>59.24</v>
      </c>
      <c r="N68" s="77">
        <f t="shared" si="69"/>
        <v>228.19</v>
      </c>
      <c r="O68" s="77"/>
      <c r="P68" s="81"/>
      <c r="Q68" s="82"/>
    </row>
    <row r="69" spans="1:17" ht="60">
      <c r="A69" s="21">
        <f>IF(F69&lt;&gt;"",1+MAX($A$6:A68),"")</f>
        <v>51</v>
      </c>
      <c r="B69" s="22"/>
      <c r="C69" s="56" t="s">
        <v>52</v>
      </c>
      <c r="D69" s="20">
        <v>16</v>
      </c>
      <c r="E69" s="78">
        <v>0</v>
      </c>
      <c r="F69" s="19">
        <f t="shared" si="65"/>
        <v>16</v>
      </c>
      <c r="G69" s="19" t="s">
        <v>16</v>
      </c>
      <c r="H69" s="89">
        <v>223.95</v>
      </c>
      <c r="I69" s="89">
        <v>3583.2</v>
      </c>
      <c r="J69" s="88">
        <v>1.4810000000000001</v>
      </c>
      <c r="K69" s="41">
        <f t="shared" si="66"/>
        <v>40</v>
      </c>
      <c r="L69" s="80">
        <f t="shared" si="67"/>
        <v>23.696000000000002</v>
      </c>
      <c r="M69" s="29">
        <f t="shared" si="68"/>
        <v>947.84</v>
      </c>
      <c r="N69" s="77">
        <f t="shared" si="69"/>
        <v>4531.04</v>
      </c>
      <c r="O69" s="77"/>
      <c r="P69" s="81"/>
      <c r="Q69" s="82"/>
    </row>
    <row r="70" spans="1:17" ht="45">
      <c r="A70" s="21">
        <f>IF(F70&lt;&gt;"",1+MAX($A$6:A69),"")</f>
        <v>52</v>
      </c>
      <c r="B70" s="22"/>
      <c r="C70" s="56" t="s">
        <v>53</v>
      </c>
      <c r="D70" s="20">
        <v>8</v>
      </c>
      <c r="E70" s="78">
        <v>0</v>
      </c>
      <c r="F70" s="19">
        <f t="shared" si="65"/>
        <v>8</v>
      </c>
      <c r="G70" s="19" t="s">
        <v>16</v>
      </c>
      <c r="H70" s="89">
        <v>250</v>
      </c>
      <c r="I70" s="89">
        <v>2000</v>
      </c>
      <c r="J70" s="88">
        <v>1</v>
      </c>
      <c r="K70" s="41">
        <f t="shared" si="66"/>
        <v>40</v>
      </c>
      <c r="L70" s="80">
        <f t="shared" si="67"/>
        <v>8</v>
      </c>
      <c r="M70" s="29">
        <f t="shared" si="68"/>
        <v>320</v>
      </c>
      <c r="N70" s="77">
        <f t="shared" si="69"/>
        <v>2320</v>
      </c>
      <c r="O70" s="77"/>
      <c r="P70" s="81"/>
      <c r="Q70" s="82"/>
    </row>
    <row r="71" spans="1:17" ht="45">
      <c r="A71" s="21">
        <f>IF(F71&lt;&gt;"",1+MAX($A$6:A70),"")</f>
        <v>53</v>
      </c>
      <c r="B71" s="22"/>
      <c r="C71" s="56" t="s">
        <v>54</v>
      </c>
      <c r="D71" s="20">
        <v>14</v>
      </c>
      <c r="E71" s="78">
        <v>0</v>
      </c>
      <c r="F71" s="19">
        <f t="shared" si="65"/>
        <v>14</v>
      </c>
      <c r="G71" s="19" t="s">
        <v>16</v>
      </c>
      <c r="H71" s="89">
        <v>496</v>
      </c>
      <c r="I71" s="89">
        <v>6944</v>
      </c>
      <c r="J71" s="88">
        <v>1.5089999999999999</v>
      </c>
      <c r="K71" s="41">
        <f t="shared" si="66"/>
        <v>40</v>
      </c>
      <c r="L71" s="80">
        <f t="shared" si="67"/>
        <v>21.125999999999998</v>
      </c>
      <c r="M71" s="29">
        <f t="shared" si="68"/>
        <v>845.04</v>
      </c>
      <c r="N71" s="77">
        <f t="shared" si="69"/>
        <v>7789.04</v>
      </c>
      <c r="O71" s="77"/>
      <c r="P71" s="81"/>
      <c r="Q71" s="82"/>
    </row>
    <row r="72" spans="1:17" ht="60">
      <c r="A72" s="21">
        <f>IF(F72&lt;&gt;"",1+MAX($A$6:A71),"")</f>
        <v>54</v>
      </c>
      <c r="B72" s="22"/>
      <c r="C72" s="56" t="s">
        <v>55</v>
      </c>
      <c r="D72" s="20">
        <v>4</v>
      </c>
      <c r="E72" s="78">
        <v>0</v>
      </c>
      <c r="F72" s="19">
        <f t="shared" si="65"/>
        <v>4</v>
      </c>
      <c r="G72" s="19" t="s">
        <v>16</v>
      </c>
      <c r="H72" s="89">
        <v>551</v>
      </c>
      <c r="I72" s="89">
        <v>2204</v>
      </c>
      <c r="J72" s="88">
        <v>1.5089999999999999</v>
      </c>
      <c r="K72" s="41">
        <f t="shared" si="66"/>
        <v>40</v>
      </c>
      <c r="L72" s="80">
        <f t="shared" si="67"/>
        <v>6.0359999999999996</v>
      </c>
      <c r="M72" s="29">
        <f t="shared" si="68"/>
        <v>241.44</v>
      </c>
      <c r="N72" s="77">
        <f t="shared" si="69"/>
        <v>2445.44</v>
      </c>
      <c r="O72" s="77"/>
      <c r="P72" s="81"/>
      <c r="Q72" s="82"/>
    </row>
    <row r="73" spans="1:17" ht="45">
      <c r="A73" s="21">
        <f>IF(F73&lt;&gt;"",1+MAX($A$6:A72),"")</f>
        <v>55</v>
      </c>
      <c r="B73" s="22"/>
      <c r="C73" s="56" t="s">
        <v>56</v>
      </c>
      <c r="D73" s="20">
        <v>4</v>
      </c>
      <c r="E73" s="78">
        <v>0</v>
      </c>
      <c r="F73" s="19">
        <f t="shared" si="65"/>
        <v>4</v>
      </c>
      <c r="G73" s="19" t="s">
        <v>16</v>
      </c>
      <c r="H73" s="89">
        <v>450</v>
      </c>
      <c r="I73" s="89">
        <v>1800</v>
      </c>
      <c r="J73" s="88">
        <v>2</v>
      </c>
      <c r="K73" s="41">
        <f t="shared" si="66"/>
        <v>40</v>
      </c>
      <c r="L73" s="80">
        <f t="shared" si="67"/>
        <v>8</v>
      </c>
      <c r="M73" s="29">
        <f t="shared" si="68"/>
        <v>320</v>
      </c>
      <c r="N73" s="77">
        <f t="shared" si="69"/>
        <v>2120</v>
      </c>
      <c r="O73" s="77"/>
      <c r="P73" s="81"/>
      <c r="Q73" s="82"/>
    </row>
    <row r="74" spans="1:17" ht="60">
      <c r="A74" s="21">
        <f>IF(F74&lt;&gt;"",1+MAX($A$6:A73),"")</f>
        <v>56</v>
      </c>
      <c r="B74" s="22"/>
      <c r="C74" s="56" t="s">
        <v>142</v>
      </c>
      <c r="D74" s="20">
        <v>52</v>
      </c>
      <c r="E74" s="78">
        <v>0</v>
      </c>
      <c r="F74" s="19">
        <f t="shared" si="65"/>
        <v>52</v>
      </c>
      <c r="G74" s="19" t="s">
        <v>16</v>
      </c>
      <c r="H74" s="89">
        <v>73</v>
      </c>
      <c r="I74" s="89">
        <v>3796</v>
      </c>
      <c r="J74" s="88">
        <v>1</v>
      </c>
      <c r="K74" s="41">
        <f t="shared" si="66"/>
        <v>40</v>
      </c>
      <c r="L74" s="80">
        <f t="shared" si="67"/>
        <v>52</v>
      </c>
      <c r="M74" s="29">
        <f t="shared" si="68"/>
        <v>2080</v>
      </c>
      <c r="N74" s="77">
        <f t="shared" si="69"/>
        <v>5876</v>
      </c>
      <c r="O74" s="77"/>
      <c r="P74" s="81"/>
      <c r="Q74" s="82"/>
    </row>
    <row r="75" spans="1:17" ht="60">
      <c r="A75" s="21">
        <f>IF(F75&lt;&gt;"",1+MAX($A$6:A74),"")</f>
        <v>57</v>
      </c>
      <c r="B75" s="22"/>
      <c r="C75" s="56" t="s">
        <v>57</v>
      </c>
      <c r="D75" s="20">
        <v>4</v>
      </c>
      <c r="E75" s="78">
        <v>0</v>
      </c>
      <c r="F75" s="19">
        <f t="shared" si="65"/>
        <v>4</v>
      </c>
      <c r="G75" s="19" t="s">
        <v>16</v>
      </c>
      <c r="H75" s="89">
        <v>73</v>
      </c>
      <c r="I75" s="89">
        <v>292</v>
      </c>
      <c r="J75" s="88">
        <v>1</v>
      </c>
      <c r="K75" s="41">
        <f t="shared" si="66"/>
        <v>40</v>
      </c>
      <c r="L75" s="80">
        <f t="shared" si="67"/>
        <v>4</v>
      </c>
      <c r="M75" s="29">
        <f t="shared" si="68"/>
        <v>160</v>
      </c>
      <c r="N75" s="77">
        <f t="shared" si="69"/>
        <v>452</v>
      </c>
      <c r="O75" s="77"/>
      <c r="P75" s="81"/>
      <c r="Q75" s="82"/>
    </row>
    <row r="76" spans="1:17" ht="15.75">
      <c r="A76" s="21" t="str">
        <f>IF(F76&lt;&gt;"",1+MAX($A$6:A75),"")</f>
        <v/>
      </c>
      <c r="B76" s="22"/>
      <c r="C76" s="56"/>
      <c r="D76" s="20"/>
      <c r="E76" s="78"/>
      <c r="F76" s="19"/>
      <c r="G76" s="19"/>
      <c r="H76" s="29"/>
      <c r="I76" s="29"/>
      <c r="J76" s="79"/>
      <c r="K76" s="41"/>
      <c r="L76" s="80"/>
      <c r="M76" s="29"/>
      <c r="N76" s="77"/>
      <c r="O76" s="77"/>
      <c r="P76" s="81"/>
      <c r="Q76" s="82"/>
    </row>
    <row r="77" spans="1:17" ht="15.75">
      <c r="A77" s="21" t="str">
        <f>IF(F77&lt;&gt;"",1+MAX($A$6:A76),"")</f>
        <v/>
      </c>
      <c r="B77" s="22"/>
      <c r="C77" s="58" t="s">
        <v>46</v>
      </c>
      <c r="D77" s="20"/>
      <c r="E77" s="78"/>
      <c r="F77" s="19"/>
      <c r="G77" s="19"/>
      <c r="H77" s="29"/>
      <c r="I77" s="29"/>
      <c r="J77" s="79"/>
      <c r="K77" s="41"/>
      <c r="L77" s="80"/>
      <c r="M77" s="29"/>
      <c r="N77" s="77"/>
      <c r="O77" s="77"/>
      <c r="P77" s="81"/>
      <c r="Q77" s="82"/>
    </row>
    <row r="78" spans="1:17" ht="58.5" customHeight="1">
      <c r="A78" s="21">
        <f>IF(F78&lt;&gt;"",1+MAX($A$6:A77),"")</f>
        <v>58</v>
      </c>
      <c r="B78" s="22"/>
      <c r="C78" s="56" t="s">
        <v>58</v>
      </c>
      <c r="D78" s="20">
        <v>12</v>
      </c>
      <c r="E78" s="78">
        <v>0</v>
      </c>
      <c r="F78" s="19">
        <f t="shared" si="65"/>
        <v>12</v>
      </c>
      <c r="G78" s="19" t="s">
        <v>16</v>
      </c>
      <c r="H78" s="91">
        <v>400</v>
      </c>
      <c r="I78" s="91">
        <v>4800</v>
      </c>
      <c r="J78" s="90">
        <v>2</v>
      </c>
      <c r="K78" s="41">
        <f t="shared" ref="K78:K80" si="70">$O$7</f>
        <v>40</v>
      </c>
      <c r="L78" s="80">
        <f t="shared" si="67"/>
        <v>24</v>
      </c>
      <c r="M78" s="29">
        <f t="shared" si="68"/>
        <v>960</v>
      </c>
      <c r="N78" s="77">
        <f t="shared" si="69"/>
        <v>5760</v>
      </c>
      <c r="O78" s="77"/>
      <c r="P78" s="81"/>
      <c r="Q78" s="82"/>
    </row>
    <row r="79" spans="1:17" ht="45" customHeight="1">
      <c r="A79" s="21">
        <f>IF(F79&lt;&gt;"",1+MAX($A$6:A78),"")</f>
        <v>59</v>
      </c>
      <c r="B79" s="22"/>
      <c r="C79" s="56" t="s">
        <v>59</v>
      </c>
      <c r="D79" s="20">
        <v>6</v>
      </c>
      <c r="E79" s="78">
        <v>0</v>
      </c>
      <c r="F79" s="19">
        <f t="shared" si="65"/>
        <v>6</v>
      </c>
      <c r="G79" s="19" t="s">
        <v>16</v>
      </c>
      <c r="H79" s="91">
        <v>545</v>
      </c>
      <c r="I79" s="91">
        <v>3270</v>
      </c>
      <c r="J79" s="90">
        <v>2</v>
      </c>
      <c r="K79" s="41">
        <f t="shared" si="70"/>
        <v>40</v>
      </c>
      <c r="L79" s="80">
        <f t="shared" si="67"/>
        <v>12</v>
      </c>
      <c r="M79" s="29">
        <f t="shared" si="68"/>
        <v>480</v>
      </c>
      <c r="N79" s="77">
        <f t="shared" si="69"/>
        <v>3750</v>
      </c>
      <c r="O79" s="77"/>
      <c r="P79" s="81"/>
      <c r="Q79" s="82"/>
    </row>
    <row r="80" spans="1:17" ht="45" customHeight="1">
      <c r="A80" s="21">
        <f>IF(F80&lt;&gt;"",1+MAX($A$6:A79),"")</f>
        <v>60</v>
      </c>
      <c r="B80" s="22"/>
      <c r="C80" s="56" t="s">
        <v>60</v>
      </c>
      <c r="D80" s="20">
        <v>25</v>
      </c>
      <c r="E80" s="78">
        <v>0</v>
      </c>
      <c r="F80" s="19">
        <f t="shared" si="65"/>
        <v>25</v>
      </c>
      <c r="G80" s="19" t="s">
        <v>16</v>
      </c>
      <c r="H80" s="91">
        <v>545</v>
      </c>
      <c r="I80" s="91">
        <v>13625</v>
      </c>
      <c r="J80" s="90">
        <v>2</v>
      </c>
      <c r="K80" s="41">
        <f t="shared" si="70"/>
        <v>40</v>
      </c>
      <c r="L80" s="80">
        <f t="shared" si="67"/>
        <v>50</v>
      </c>
      <c r="M80" s="83">
        <f t="shared" si="68"/>
        <v>2000</v>
      </c>
      <c r="N80" s="77">
        <f t="shared" si="69"/>
        <v>15625</v>
      </c>
      <c r="O80" s="77"/>
      <c r="P80" s="81"/>
      <c r="Q80" s="82"/>
    </row>
    <row r="81" spans="1:17" ht="15.75">
      <c r="A81" s="21" t="str">
        <f>IF(F81&lt;&gt;"",1+MAX($A$6:A80),"")</f>
        <v/>
      </c>
      <c r="B81" s="22"/>
      <c r="C81" s="56"/>
      <c r="D81" s="20"/>
      <c r="E81" s="78"/>
      <c r="F81" s="19"/>
      <c r="G81" s="19"/>
      <c r="H81" s="29"/>
      <c r="I81" s="29"/>
      <c r="J81" s="79"/>
      <c r="K81" s="41"/>
      <c r="L81" s="80"/>
      <c r="M81" s="29"/>
      <c r="N81" s="77"/>
      <c r="O81" s="77"/>
      <c r="P81" s="81"/>
      <c r="Q81" s="82"/>
    </row>
    <row r="82" spans="1:17" ht="15.75">
      <c r="A82" s="21" t="str">
        <f>IF(F82&lt;&gt;"",1+MAX($A$6:A81),"")</f>
        <v/>
      </c>
      <c r="B82" s="73"/>
      <c r="C82" s="57" t="s">
        <v>72</v>
      </c>
      <c r="D82" s="20"/>
      <c r="E82" s="74"/>
      <c r="F82" s="20"/>
      <c r="G82" s="19"/>
      <c r="H82" s="29"/>
      <c r="I82" s="19"/>
      <c r="J82" s="19"/>
      <c r="K82" s="41"/>
      <c r="L82" s="19"/>
      <c r="M82" s="76"/>
      <c r="N82" s="77"/>
      <c r="O82" s="77"/>
      <c r="P82" s="75"/>
    </row>
    <row r="83" spans="1:17" ht="15.75">
      <c r="A83" s="21">
        <f>IF(F83&lt;&gt;"",1+MAX($A$6:A82),"")</f>
        <v>61</v>
      </c>
      <c r="B83" s="22"/>
      <c r="C83" s="59" t="s">
        <v>73</v>
      </c>
      <c r="D83" s="19">
        <v>4</v>
      </c>
      <c r="E83" s="78">
        <v>0</v>
      </c>
      <c r="F83" s="19">
        <f t="shared" ref="F83:F87" si="71">(1+E83)*D83</f>
        <v>4</v>
      </c>
      <c r="G83" s="19" t="s">
        <v>16</v>
      </c>
      <c r="H83" s="104">
        <v>15.55</v>
      </c>
      <c r="I83" s="104">
        <f t="shared" ref="I83" si="72">F83*H83</f>
        <v>62.2</v>
      </c>
      <c r="J83" s="100">
        <v>0.46800000000000003</v>
      </c>
      <c r="K83" s="41">
        <f t="shared" ref="K83:K87" si="73">$O$7</f>
        <v>40</v>
      </c>
      <c r="L83" s="80">
        <f t="shared" ref="L83:L87" si="74">J83*F83</f>
        <v>1.8720000000000001</v>
      </c>
      <c r="M83" s="29">
        <f t="shared" ref="M83:M87" si="75">L83*K83</f>
        <v>74.88000000000001</v>
      </c>
      <c r="N83" s="77">
        <f t="shared" ref="N83:N87" si="76">M83+I83</f>
        <v>137.08000000000001</v>
      </c>
      <c r="O83" s="77"/>
      <c r="P83" s="81"/>
      <c r="Q83" s="82"/>
    </row>
    <row r="84" spans="1:17" ht="15.75">
      <c r="A84" s="21">
        <f>IF(F84&lt;&gt;"",1+MAX($A$6:A83),"")</f>
        <v>62</v>
      </c>
      <c r="B84" s="22"/>
      <c r="C84" s="59" t="s">
        <v>143</v>
      </c>
      <c r="D84" s="19">
        <v>2</v>
      </c>
      <c r="E84" s="78">
        <v>0</v>
      </c>
      <c r="F84" s="19">
        <f t="shared" si="71"/>
        <v>2</v>
      </c>
      <c r="G84" s="19" t="s">
        <v>16</v>
      </c>
      <c r="H84" s="29">
        <v>169</v>
      </c>
      <c r="I84" s="29">
        <f t="shared" ref="I84:I87" si="77">F84*H84</f>
        <v>338</v>
      </c>
      <c r="J84" s="79">
        <v>1.143</v>
      </c>
      <c r="K84" s="41">
        <f t="shared" si="73"/>
        <v>40</v>
      </c>
      <c r="L84" s="80">
        <f t="shared" si="74"/>
        <v>2.286</v>
      </c>
      <c r="M84" s="29">
        <f t="shared" si="75"/>
        <v>91.44</v>
      </c>
      <c r="N84" s="77">
        <f t="shared" si="76"/>
        <v>429.44</v>
      </c>
      <c r="O84" s="77"/>
      <c r="P84" s="81"/>
      <c r="Q84" s="82"/>
    </row>
    <row r="85" spans="1:17" ht="15.75">
      <c r="A85" s="21">
        <f>IF(F85&lt;&gt;"",1+MAX($A$6:A84),"")</f>
        <v>63</v>
      </c>
      <c r="B85" s="22"/>
      <c r="C85" s="59" t="s">
        <v>144</v>
      </c>
      <c r="D85" s="19">
        <v>1</v>
      </c>
      <c r="E85" s="78">
        <v>0</v>
      </c>
      <c r="F85" s="19">
        <f t="shared" si="71"/>
        <v>1</v>
      </c>
      <c r="G85" s="19" t="s">
        <v>16</v>
      </c>
      <c r="H85" s="29">
        <v>59</v>
      </c>
      <c r="I85" s="29">
        <f t="shared" si="77"/>
        <v>59</v>
      </c>
      <c r="J85" s="79">
        <v>0.55000000000000004</v>
      </c>
      <c r="K85" s="41">
        <f t="shared" si="73"/>
        <v>40</v>
      </c>
      <c r="L85" s="80">
        <f t="shared" si="74"/>
        <v>0.55000000000000004</v>
      </c>
      <c r="M85" s="29">
        <f t="shared" si="75"/>
        <v>22</v>
      </c>
      <c r="N85" s="77">
        <f t="shared" si="76"/>
        <v>81</v>
      </c>
      <c r="O85" s="77"/>
      <c r="P85" s="81"/>
      <c r="Q85" s="82"/>
    </row>
    <row r="86" spans="1:17" ht="15.75">
      <c r="A86" s="21">
        <f>IF(F86&lt;&gt;"",1+MAX($A$6:A85),"")</f>
        <v>64</v>
      </c>
      <c r="B86" s="22"/>
      <c r="C86" s="59" t="s">
        <v>74</v>
      </c>
      <c r="D86" s="19">
        <v>10</v>
      </c>
      <c r="E86" s="78">
        <v>0</v>
      </c>
      <c r="F86" s="19">
        <f t="shared" si="71"/>
        <v>10</v>
      </c>
      <c r="G86" s="19" t="s">
        <v>16</v>
      </c>
      <c r="H86" s="29">
        <v>155.51</v>
      </c>
      <c r="I86" s="29">
        <f t="shared" si="77"/>
        <v>1555.1</v>
      </c>
      <c r="J86" s="79">
        <v>1.2310000000000001</v>
      </c>
      <c r="K86" s="41">
        <f t="shared" si="73"/>
        <v>40</v>
      </c>
      <c r="L86" s="80">
        <f t="shared" si="74"/>
        <v>12.31</v>
      </c>
      <c r="M86" s="29">
        <f t="shared" si="75"/>
        <v>492.40000000000003</v>
      </c>
      <c r="N86" s="77">
        <f t="shared" si="76"/>
        <v>2047.5</v>
      </c>
      <c r="O86" s="77"/>
      <c r="P86" s="81"/>
      <c r="Q86" s="82"/>
    </row>
    <row r="87" spans="1:17" ht="15.75">
      <c r="A87" s="21">
        <f>IF(F87&lt;&gt;"",1+MAX($A$6:A86),"")</f>
        <v>65</v>
      </c>
      <c r="B87" s="22"/>
      <c r="C87" s="59" t="s">
        <v>75</v>
      </c>
      <c r="D87" s="19">
        <v>120</v>
      </c>
      <c r="E87" s="78">
        <v>0</v>
      </c>
      <c r="F87" s="19">
        <f t="shared" si="71"/>
        <v>120</v>
      </c>
      <c r="G87" s="19" t="s">
        <v>16</v>
      </c>
      <c r="H87" s="29">
        <v>70.349999999999994</v>
      </c>
      <c r="I87" s="29">
        <f t="shared" si="77"/>
        <v>8442</v>
      </c>
      <c r="J87" s="79">
        <v>1.143</v>
      </c>
      <c r="K87" s="41">
        <f t="shared" si="73"/>
        <v>40</v>
      </c>
      <c r="L87" s="80">
        <f t="shared" si="74"/>
        <v>137.16</v>
      </c>
      <c r="M87" s="29">
        <f t="shared" si="75"/>
        <v>5486.4</v>
      </c>
      <c r="N87" s="77">
        <f t="shared" si="76"/>
        <v>13928.4</v>
      </c>
      <c r="O87" s="77"/>
      <c r="P87" s="81"/>
      <c r="Q87" s="82"/>
    </row>
    <row r="88" spans="1:17" ht="15.75">
      <c r="A88" s="21" t="str">
        <f>IF(F88&lt;&gt;"",1+MAX($A$6:A87),"")</f>
        <v/>
      </c>
      <c r="B88" s="22"/>
      <c r="C88" s="59"/>
      <c r="D88" s="19"/>
      <c r="E88" s="78"/>
      <c r="F88" s="19"/>
      <c r="G88" s="19"/>
      <c r="H88" s="29"/>
      <c r="I88" s="29"/>
      <c r="J88" s="79"/>
      <c r="K88" s="41"/>
      <c r="L88" s="80"/>
      <c r="M88" s="29"/>
      <c r="N88" s="77"/>
      <c r="O88" s="77"/>
      <c r="P88" s="81"/>
      <c r="Q88" s="82"/>
    </row>
    <row r="89" spans="1:17" ht="15.75">
      <c r="A89" s="21" t="str">
        <f>IF(F89&lt;&gt;"",1+MAX($A$6:A88),"")</f>
        <v/>
      </c>
      <c r="B89" s="73"/>
      <c r="C89" s="57" t="s">
        <v>62</v>
      </c>
      <c r="D89" s="20"/>
      <c r="E89" s="74"/>
      <c r="F89" s="20"/>
      <c r="G89" s="19"/>
      <c r="H89" s="29"/>
      <c r="I89" s="19"/>
      <c r="J89" s="19"/>
      <c r="K89" s="41"/>
      <c r="L89" s="19"/>
      <c r="M89" s="76"/>
      <c r="N89" s="77"/>
      <c r="O89" s="77"/>
      <c r="P89" s="75"/>
    </row>
    <row r="90" spans="1:17" ht="15.75">
      <c r="A90" s="21">
        <f>IF(F90&lt;&gt;"",1+MAX($A$6:A89),"")</f>
        <v>66</v>
      </c>
      <c r="B90" s="22"/>
      <c r="C90" s="59" t="s">
        <v>63</v>
      </c>
      <c r="D90" s="19">
        <v>89</v>
      </c>
      <c r="E90" s="78">
        <v>0</v>
      </c>
      <c r="F90" s="19">
        <f t="shared" ref="F90" si="78">(1+E90)*D90</f>
        <v>89</v>
      </c>
      <c r="G90" s="19" t="s">
        <v>16</v>
      </c>
      <c r="H90" s="104">
        <v>8.9</v>
      </c>
      <c r="I90" s="104">
        <f t="shared" ref="I90:I94" si="79">F90*H90</f>
        <v>792.1</v>
      </c>
      <c r="J90" s="100">
        <v>0.55000000000000004</v>
      </c>
      <c r="K90" s="41">
        <f t="shared" ref="K90:K94" si="80">$O$7</f>
        <v>40</v>
      </c>
      <c r="L90" s="80">
        <f t="shared" ref="L90" si="81">J90*F90</f>
        <v>48.95</v>
      </c>
      <c r="M90" s="29">
        <f t="shared" ref="M90" si="82">L90*K90</f>
        <v>1958</v>
      </c>
      <c r="N90" s="77">
        <f t="shared" ref="N90" si="83">M90+I90</f>
        <v>2750.1</v>
      </c>
      <c r="O90" s="77"/>
      <c r="P90" s="81"/>
      <c r="Q90" s="82"/>
    </row>
    <row r="91" spans="1:17" ht="15.75">
      <c r="A91" s="21">
        <f>IF(F91&lt;&gt;"",1+MAX($A$6:A90),"")</f>
        <v>67</v>
      </c>
      <c r="B91" s="22"/>
      <c r="C91" s="59" t="s">
        <v>64</v>
      </c>
      <c r="D91" s="19">
        <v>7</v>
      </c>
      <c r="E91" s="78">
        <v>0</v>
      </c>
      <c r="F91" s="19">
        <f t="shared" ref="F91:F126" si="84">(1+E91)*D91</f>
        <v>7</v>
      </c>
      <c r="G91" s="19" t="s">
        <v>16</v>
      </c>
      <c r="H91" s="104">
        <v>8.9</v>
      </c>
      <c r="I91" s="104">
        <f t="shared" si="79"/>
        <v>62.300000000000004</v>
      </c>
      <c r="J91" s="100">
        <v>0.55000000000000004</v>
      </c>
      <c r="K91" s="41">
        <f t="shared" si="80"/>
        <v>40</v>
      </c>
      <c r="L91" s="80">
        <f t="shared" ref="L91:L126" si="85">J91*F91</f>
        <v>3.8500000000000005</v>
      </c>
      <c r="M91" s="29">
        <f t="shared" ref="M91:M126" si="86">L91*K91</f>
        <v>154.00000000000003</v>
      </c>
      <c r="N91" s="77">
        <f t="shared" ref="N91:N126" si="87">M91+I91</f>
        <v>216.30000000000004</v>
      </c>
      <c r="O91" s="77"/>
      <c r="P91" s="81"/>
      <c r="Q91" s="82"/>
    </row>
    <row r="92" spans="1:17" ht="15.75">
      <c r="A92" s="21">
        <f>IF(F92&lt;&gt;"",1+MAX($A$6:A91),"")</f>
        <v>68</v>
      </c>
      <c r="B92" s="22"/>
      <c r="C92" s="59" t="s">
        <v>65</v>
      </c>
      <c r="D92" s="19">
        <v>6</v>
      </c>
      <c r="E92" s="78">
        <v>0</v>
      </c>
      <c r="F92" s="19">
        <f t="shared" si="84"/>
        <v>6</v>
      </c>
      <c r="G92" s="19" t="s">
        <v>16</v>
      </c>
      <c r="H92" s="104">
        <v>21</v>
      </c>
      <c r="I92" s="104">
        <f t="shared" si="79"/>
        <v>126</v>
      </c>
      <c r="J92" s="100">
        <v>0.65</v>
      </c>
      <c r="K92" s="41">
        <f t="shared" si="80"/>
        <v>40</v>
      </c>
      <c r="L92" s="80">
        <f t="shared" si="85"/>
        <v>3.9000000000000004</v>
      </c>
      <c r="M92" s="29">
        <f t="shared" si="86"/>
        <v>156</v>
      </c>
      <c r="N92" s="77">
        <f t="shared" si="87"/>
        <v>282</v>
      </c>
      <c r="O92" s="77"/>
      <c r="P92" s="81"/>
      <c r="Q92" s="82"/>
    </row>
    <row r="93" spans="1:17" ht="15.75">
      <c r="A93" s="21">
        <f>IF(F93&lt;&gt;"",1+MAX($A$6:A92),"")</f>
        <v>69</v>
      </c>
      <c r="B93" s="22"/>
      <c r="C93" s="59" t="s">
        <v>66</v>
      </c>
      <c r="D93" s="19">
        <v>5</v>
      </c>
      <c r="E93" s="78">
        <v>0</v>
      </c>
      <c r="F93" s="19">
        <f t="shared" si="84"/>
        <v>5</v>
      </c>
      <c r="G93" s="19" t="s">
        <v>16</v>
      </c>
      <c r="H93" s="104">
        <v>23.02</v>
      </c>
      <c r="I93" s="104">
        <f t="shared" si="79"/>
        <v>115.1</v>
      </c>
      <c r="J93" s="100">
        <v>0.9</v>
      </c>
      <c r="K93" s="41">
        <f t="shared" si="80"/>
        <v>40</v>
      </c>
      <c r="L93" s="80">
        <f t="shared" si="85"/>
        <v>4.5</v>
      </c>
      <c r="M93" s="29">
        <f t="shared" si="86"/>
        <v>180</v>
      </c>
      <c r="N93" s="77">
        <f t="shared" si="87"/>
        <v>295.10000000000002</v>
      </c>
      <c r="O93" s="77"/>
      <c r="P93" s="81"/>
      <c r="Q93" s="82"/>
    </row>
    <row r="94" spans="1:17" ht="15.75">
      <c r="A94" s="21">
        <f>IF(F94&lt;&gt;"",1+MAX($A$6:A93),"")</f>
        <v>70</v>
      </c>
      <c r="B94" s="22"/>
      <c r="C94" s="59" t="s">
        <v>67</v>
      </c>
      <c r="D94" s="19">
        <v>5</v>
      </c>
      <c r="E94" s="78">
        <v>0</v>
      </c>
      <c r="F94" s="19">
        <f t="shared" si="84"/>
        <v>5</v>
      </c>
      <c r="G94" s="19" t="s">
        <v>16</v>
      </c>
      <c r="H94" s="104">
        <v>31.41</v>
      </c>
      <c r="I94" s="104">
        <f t="shared" si="79"/>
        <v>157.05000000000001</v>
      </c>
      <c r="J94" s="100">
        <v>0.65</v>
      </c>
      <c r="K94" s="41">
        <f t="shared" si="80"/>
        <v>40</v>
      </c>
      <c r="L94" s="80">
        <f t="shared" si="85"/>
        <v>3.25</v>
      </c>
      <c r="M94" s="29">
        <f t="shared" si="86"/>
        <v>130</v>
      </c>
      <c r="N94" s="77">
        <f t="shared" si="87"/>
        <v>287.05</v>
      </c>
      <c r="O94" s="77"/>
      <c r="P94" s="81"/>
      <c r="Q94" s="82"/>
    </row>
    <row r="95" spans="1:17" ht="15.75">
      <c r="A95" s="21" t="str">
        <f>IF(F95&lt;&gt;"",1+MAX($A$6:A94),"")</f>
        <v/>
      </c>
      <c r="B95" s="22"/>
      <c r="C95" s="56"/>
      <c r="D95" s="20"/>
      <c r="E95" s="78"/>
      <c r="F95" s="19"/>
      <c r="G95" s="19"/>
      <c r="H95" s="29"/>
      <c r="I95" s="29"/>
      <c r="J95" s="79"/>
      <c r="K95" s="41"/>
      <c r="L95" s="80"/>
      <c r="M95" s="29"/>
      <c r="N95" s="77"/>
      <c r="O95" s="77"/>
      <c r="P95" s="81"/>
      <c r="Q95" s="82"/>
    </row>
    <row r="96" spans="1:17" ht="15.75">
      <c r="A96" s="21" t="str">
        <f>IF(F96&lt;&gt;"",1+MAX($A$6:A95),"")</f>
        <v/>
      </c>
      <c r="B96" s="73"/>
      <c r="C96" s="57" t="s">
        <v>68</v>
      </c>
      <c r="D96" s="20"/>
      <c r="E96" s="74"/>
      <c r="F96" s="20"/>
      <c r="G96" s="19"/>
      <c r="H96" s="29"/>
      <c r="I96" s="19"/>
      <c r="J96" s="19"/>
      <c r="K96" s="41"/>
      <c r="L96" s="19"/>
      <c r="M96" s="76"/>
      <c r="N96" s="77"/>
      <c r="O96" s="77"/>
      <c r="P96" s="75"/>
    </row>
    <row r="97" spans="1:17" ht="15.75">
      <c r="A97" s="21">
        <f>IF(F97&lt;&gt;"",1+MAX($A$6:A96),"")</f>
        <v>71</v>
      </c>
      <c r="B97" s="22"/>
      <c r="C97" s="59" t="s">
        <v>69</v>
      </c>
      <c r="D97" s="19">
        <v>1</v>
      </c>
      <c r="E97" s="78">
        <v>0</v>
      </c>
      <c r="F97" s="19">
        <f t="shared" si="84"/>
        <v>1</v>
      </c>
      <c r="G97" s="19" t="s">
        <v>16</v>
      </c>
      <c r="H97" s="104">
        <v>87.5</v>
      </c>
      <c r="I97" s="104">
        <f t="shared" ref="I97:I100" si="88">F97*H97</f>
        <v>87.5</v>
      </c>
      <c r="J97" s="100">
        <v>0.8</v>
      </c>
      <c r="K97" s="41">
        <f t="shared" ref="K97:K100" si="89">$O$7</f>
        <v>40</v>
      </c>
      <c r="L97" s="80">
        <f t="shared" si="85"/>
        <v>0.8</v>
      </c>
      <c r="M97" s="29">
        <f t="shared" si="86"/>
        <v>32</v>
      </c>
      <c r="N97" s="77">
        <f t="shared" si="87"/>
        <v>119.5</v>
      </c>
      <c r="O97" s="77"/>
      <c r="P97" s="81"/>
      <c r="Q97" s="82"/>
    </row>
    <row r="98" spans="1:17" ht="15.75">
      <c r="A98" s="21">
        <f>IF(F98&lt;&gt;"",1+MAX($A$6:A97),"")</f>
        <v>72</v>
      </c>
      <c r="B98" s="22"/>
      <c r="C98" s="59" t="s">
        <v>145</v>
      </c>
      <c r="D98" s="19">
        <v>25</v>
      </c>
      <c r="E98" s="78">
        <v>0</v>
      </c>
      <c r="F98" s="19">
        <f t="shared" si="84"/>
        <v>25</v>
      </c>
      <c r="G98" s="19" t="s">
        <v>16</v>
      </c>
      <c r="H98" s="104">
        <v>102</v>
      </c>
      <c r="I98" s="104">
        <f t="shared" si="88"/>
        <v>2550</v>
      </c>
      <c r="J98" s="100">
        <v>3.4780000000000002</v>
      </c>
      <c r="K98" s="41">
        <f t="shared" si="89"/>
        <v>40</v>
      </c>
      <c r="L98" s="80">
        <f t="shared" si="85"/>
        <v>86.95</v>
      </c>
      <c r="M98" s="29">
        <f t="shared" si="86"/>
        <v>3478</v>
      </c>
      <c r="N98" s="77">
        <f t="shared" si="87"/>
        <v>6028</v>
      </c>
      <c r="O98" s="77"/>
      <c r="P98" s="81"/>
      <c r="Q98" s="82"/>
    </row>
    <row r="99" spans="1:17" ht="15.75">
      <c r="A99" s="21">
        <f>IF(F99&lt;&gt;"",1+MAX($A$6:A98),"")</f>
        <v>73</v>
      </c>
      <c r="B99" s="22"/>
      <c r="C99" s="59" t="s">
        <v>70</v>
      </c>
      <c r="D99" s="19">
        <v>23</v>
      </c>
      <c r="E99" s="78">
        <v>0</v>
      </c>
      <c r="F99" s="19">
        <f t="shared" si="84"/>
        <v>23</v>
      </c>
      <c r="G99" s="19" t="s">
        <v>16</v>
      </c>
      <c r="H99" s="104">
        <v>102</v>
      </c>
      <c r="I99" s="104">
        <f t="shared" si="88"/>
        <v>2346</v>
      </c>
      <c r="J99" s="100">
        <v>3.4780000000000002</v>
      </c>
      <c r="K99" s="41">
        <f t="shared" si="89"/>
        <v>40</v>
      </c>
      <c r="L99" s="80">
        <f t="shared" si="85"/>
        <v>79.994</v>
      </c>
      <c r="M99" s="29">
        <f t="shared" si="86"/>
        <v>3199.76</v>
      </c>
      <c r="N99" s="77">
        <f t="shared" si="87"/>
        <v>5545.76</v>
      </c>
      <c r="O99" s="77"/>
      <c r="P99" s="81"/>
      <c r="Q99" s="82"/>
    </row>
    <row r="100" spans="1:17" ht="15.75">
      <c r="A100" s="21">
        <f>IF(F100&lt;&gt;"",1+MAX($A$6:A99),"")</f>
        <v>74</v>
      </c>
      <c r="B100" s="22"/>
      <c r="C100" s="59" t="s">
        <v>71</v>
      </c>
      <c r="D100" s="19">
        <v>1</v>
      </c>
      <c r="E100" s="78">
        <v>0</v>
      </c>
      <c r="F100" s="19">
        <f t="shared" si="84"/>
        <v>1</v>
      </c>
      <c r="G100" s="19" t="s">
        <v>16</v>
      </c>
      <c r="H100" s="104">
        <v>102</v>
      </c>
      <c r="I100" s="104">
        <f t="shared" si="88"/>
        <v>102</v>
      </c>
      <c r="J100" s="100">
        <v>3.4780000000000002</v>
      </c>
      <c r="K100" s="41">
        <f t="shared" si="89"/>
        <v>40</v>
      </c>
      <c r="L100" s="80">
        <f t="shared" si="85"/>
        <v>3.4780000000000002</v>
      </c>
      <c r="M100" s="29">
        <f t="shared" si="86"/>
        <v>139.12</v>
      </c>
      <c r="N100" s="77">
        <f t="shared" si="87"/>
        <v>241.12</v>
      </c>
      <c r="O100" s="77"/>
      <c r="P100" s="81"/>
      <c r="Q100" s="82"/>
    </row>
    <row r="101" spans="1:17" ht="15.75">
      <c r="A101" s="21" t="str">
        <f>IF(F101&lt;&gt;"",1+MAX($A$6:A100),"")</f>
        <v/>
      </c>
      <c r="B101" s="22"/>
      <c r="C101" s="56"/>
      <c r="D101" s="20"/>
      <c r="E101" s="78"/>
      <c r="F101" s="19"/>
      <c r="G101" s="19"/>
      <c r="H101" s="29"/>
      <c r="I101" s="29"/>
      <c r="J101" s="79"/>
      <c r="K101" s="41"/>
      <c r="L101" s="80"/>
      <c r="M101" s="29"/>
      <c r="N101" s="77"/>
      <c r="O101" s="77"/>
      <c r="P101" s="81"/>
      <c r="Q101" s="82"/>
    </row>
    <row r="102" spans="1:17" ht="15.75">
      <c r="A102" s="21" t="str">
        <f>IF(F102&lt;&gt;"",1+MAX($A$6:A101),"")</f>
        <v/>
      </c>
      <c r="B102" s="73"/>
      <c r="C102" s="57" t="s">
        <v>76</v>
      </c>
      <c r="D102" s="20"/>
      <c r="E102" s="74"/>
      <c r="F102" s="20"/>
      <c r="G102" s="19"/>
      <c r="H102" s="29"/>
      <c r="I102" s="19"/>
      <c r="J102" s="19"/>
      <c r="K102" s="41"/>
      <c r="L102" s="19"/>
      <c r="M102" s="76"/>
      <c r="N102" s="77"/>
      <c r="O102" s="77"/>
      <c r="P102" s="75"/>
    </row>
    <row r="103" spans="1:17" ht="15.75">
      <c r="A103" s="21">
        <f>IF(F103&lt;&gt;"",1+MAX($A$6:A102),"")</f>
        <v>75</v>
      </c>
      <c r="B103" s="22"/>
      <c r="C103" s="59" t="s">
        <v>77</v>
      </c>
      <c r="D103" s="19">
        <v>1</v>
      </c>
      <c r="E103" s="78">
        <v>0</v>
      </c>
      <c r="F103" s="19">
        <f t="shared" si="84"/>
        <v>1</v>
      </c>
      <c r="G103" s="19" t="s">
        <v>16</v>
      </c>
      <c r="H103" s="29">
        <v>30.5</v>
      </c>
      <c r="I103" s="29">
        <f t="shared" ref="I103:I126" si="90">F103*H103</f>
        <v>30.5</v>
      </c>
      <c r="J103" s="79">
        <v>1.5089999999999999</v>
      </c>
      <c r="K103" s="41">
        <f t="shared" ref="K103:K105" si="91">$O$7</f>
        <v>40</v>
      </c>
      <c r="L103" s="80">
        <f t="shared" si="85"/>
        <v>1.5089999999999999</v>
      </c>
      <c r="M103" s="29">
        <f t="shared" si="86"/>
        <v>60.36</v>
      </c>
      <c r="N103" s="77">
        <f t="shared" si="87"/>
        <v>90.86</v>
      </c>
      <c r="O103" s="77"/>
      <c r="P103" s="81"/>
      <c r="Q103" s="82"/>
    </row>
    <row r="104" spans="1:17" ht="15.75">
      <c r="A104" s="21">
        <f>IF(F104&lt;&gt;"",1+MAX($A$6:A103),"")</f>
        <v>76</v>
      </c>
      <c r="B104" s="22"/>
      <c r="C104" s="59" t="s">
        <v>78</v>
      </c>
      <c r="D104" s="19">
        <v>4</v>
      </c>
      <c r="E104" s="78">
        <v>0</v>
      </c>
      <c r="F104" s="19">
        <f t="shared" si="84"/>
        <v>4</v>
      </c>
      <c r="G104" s="19" t="s">
        <v>16</v>
      </c>
      <c r="H104" s="83">
        <v>30.5</v>
      </c>
      <c r="I104" s="83">
        <f t="shared" ref="I104:I105" si="92">F104*H104</f>
        <v>122</v>
      </c>
      <c r="J104" s="79">
        <v>1.5089999999999999</v>
      </c>
      <c r="K104" s="41">
        <f t="shared" si="91"/>
        <v>40</v>
      </c>
      <c r="L104" s="80">
        <f t="shared" si="85"/>
        <v>6.0359999999999996</v>
      </c>
      <c r="M104" s="29">
        <f t="shared" si="86"/>
        <v>241.44</v>
      </c>
      <c r="N104" s="77">
        <f t="shared" si="87"/>
        <v>363.44</v>
      </c>
      <c r="O104" s="77"/>
      <c r="P104" s="81"/>
      <c r="Q104" s="82"/>
    </row>
    <row r="105" spans="1:17" ht="15.75">
      <c r="A105" s="21">
        <f>IF(F105&lt;&gt;"",1+MAX($A$6:A104),"")</f>
        <v>77</v>
      </c>
      <c r="B105" s="22"/>
      <c r="C105" s="59" t="s">
        <v>79</v>
      </c>
      <c r="D105" s="19">
        <v>2</v>
      </c>
      <c r="E105" s="78">
        <v>0</v>
      </c>
      <c r="F105" s="19">
        <f t="shared" si="84"/>
        <v>2</v>
      </c>
      <c r="G105" s="19" t="s">
        <v>16</v>
      </c>
      <c r="H105" s="83">
        <v>30.5</v>
      </c>
      <c r="I105" s="83">
        <f t="shared" si="92"/>
        <v>61</v>
      </c>
      <c r="J105" s="79">
        <v>1.5089999999999999</v>
      </c>
      <c r="K105" s="41">
        <f t="shared" si="91"/>
        <v>40</v>
      </c>
      <c r="L105" s="80">
        <f t="shared" si="85"/>
        <v>3.0179999999999998</v>
      </c>
      <c r="M105" s="29">
        <f t="shared" si="86"/>
        <v>120.72</v>
      </c>
      <c r="N105" s="77">
        <f t="shared" si="87"/>
        <v>181.72</v>
      </c>
      <c r="O105" s="77"/>
      <c r="P105" s="81"/>
      <c r="Q105" s="82"/>
    </row>
    <row r="106" spans="1:17" ht="15.75">
      <c r="A106" s="21" t="str">
        <f>IF(F106&lt;&gt;"",1+MAX($A$6:A105),"")</f>
        <v/>
      </c>
      <c r="B106" s="22"/>
      <c r="C106" s="56"/>
      <c r="D106" s="20"/>
      <c r="E106" s="78"/>
      <c r="F106" s="19"/>
      <c r="G106" s="19"/>
      <c r="H106" s="29"/>
      <c r="I106" s="29"/>
      <c r="J106" s="79"/>
      <c r="K106" s="41"/>
      <c r="L106" s="80"/>
      <c r="M106" s="29"/>
      <c r="N106" s="77"/>
      <c r="O106" s="77"/>
      <c r="P106" s="81"/>
      <c r="Q106" s="82"/>
    </row>
    <row r="107" spans="1:17" ht="15.75">
      <c r="A107" s="21" t="str">
        <f>IF(F107&lt;&gt;"",1+MAX($A$6:A106),"")</f>
        <v/>
      </c>
      <c r="B107" s="73"/>
      <c r="C107" s="57" t="s">
        <v>82</v>
      </c>
      <c r="D107" s="20"/>
      <c r="E107" s="74"/>
      <c r="F107" s="20"/>
      <c r="G107" s="19"/>
      <c r="H107" s="29"/>
      <c r="I107" s="19"/>
      <c r="J107" s="19"/>
      <c r="K107" s="41"/>
      <c r="L107" s="19"/>
      <c r="M107" s="76"/>
      <c r="N107" s="77"/>
      <c r="O107" s="77"/>
      <c r="P107" s="75"/>
    </row>
    <row r="108" spans="1:17" ht="15.75">
      <c r="A108" s="21">
        <f>IF(F108&lt;&gt;"",1+MAX($A$6:A107),"")</f>
        <v>78</v>
      </c>
      <c r="B108" s="22"/>
      <c r="C108" s="59" t="s">
        <v>83</v>
      </c>
      <c r="D108" s="19">
        <v>2</v>
      </c>
      <c r="E108" s="78">
        <v>0</v>
      </c>
      <c r="F108" s="19">
        <f t="shared" si="84"/>
        <v>2</v>
      </c>
      <c r="G108" s="19" t="s">
        <v>16</v>
      </c>
      <c r="H108" s="29">
        <v>120</v>
      </c>
      <c r="I108" s="29">
        <f t="shared" si="90"/>
        <v>240</v>
      </c>
      <c r="J108" s="79">
        <v>1.29</v>
      </c>
      <c r="K108" s="41">
        <f t="shared" ref="K108" si="93">$O$7</f>
        <v>40</v>
      </c>
      <c r="L108" s="80">
        <f t="shared" si="85"/>
        <v>2.58</v>
      </c>
      <c r="M108" s="29">
        <f t="shared" si="86"/>
        <v>103.2</v>
      </c>
      <c r="N108" s="77">
        <f t="shared" si="87"/>
        <v>343.2</v>
      </c>
      <c r="O108" s="77"/>
      <c r="P108" s="81"/>
      <c r="Q108" s="82"/>
    </row>
    <row r="109" spans="1:17" ht="15.75">
      <c r="A109" s="21" t="str">
        <f>IF(F109&lt;&gt;"",1+MAX($A$6:A108),"")</f>
        <v/>
      </c>
      <c r="B109" s="22"/>
      <c r="C109" s="56"/>
      <c r="D109" s="20"/>
      <c r="E109" s="78"/>
      <c r="F109" s="19"/>
      <c r="G109" s="19"/>
      <c r="H109" s="29"/>
      <c r="I109" s="29"/>
      <c r="J109" s="79"/>
      <c r="K109" s="41"/>
      <c r="L109" s="80"/>
      <c r="M109" s="29"/>
      <c r="N109" s="77"/>
      <c r="O109" s="77"/>
      <c r="P109" s="81"/>
      <c r="Q109" s="82"/>
    </row>
    <row r="110" spans="1:17" ht="15.75">
      <c r="A110" s="21" t="str">
        <f>IF(F110&lt;&gt;"",1+MAX($A$6:A109),"")</f>
        <v/>
      </c>
      <c r="B110" s="73"/>
      <c r="C110" s="57" t="s">
        <v>84</v>
      </c>
      <c r="D110" s="20"/>
      <c r="E110" s="74"/>
      <c r="F110" s="20"/>
      <c r="G110" s="19"/>
      <c r="H110" s="29"/>
      <c r="I110" s="19"/>
      <c r="J110" s="19"/>
      <c r="K110" s="41"/>
      <c r="L110" s="19"/>
      <c r="M110" s="76"/>
      <c r="N110" s="77"/>
      <c r="O110" s="77"/>
      <c r="P110" s="75"/>
    </row>
    <row r="111" spans="1:17" ht="15.75">
      <c r="A111" s="21">
        <f>IF(F111&lt;&gt;"",1+MAX($A$6:A110),"")</f>
        <v>79</v>
      </c>
      <c r="B111" s="22"/>
      <c r="C111" s="59" t="s">
        <v>85</v>
      </c>
      <c r="D111" s="19">
        <v>3</v>
      </c>
      <c r="E111" s="78">
        <v>0</v>
      </c>
      <c r="F111" s="19">
        <f t="shared" si="84"/>
        <v>3</v>
      </c>
      <c r="G111" s="19" t="s">
        <v>16</v>
      </c>
      <c r="H111" s="29">
        <v>21.35</v>
      </c>
      <c r="I111" s="29">
        <f t="shared" si="90"/>
        <v>64.050000000000011</v>
      </c>
      <c r="J111" s="79">
        <v>0.4</v>
      </c>
      <c r="K111" s="41">
        <f t="shared" ref="K111:K118" si="94">$O$7</f>
        <v>40</v>
      </c>
      <c r="L111" s="80">
        <f t="shared" si="85"/>
        <v>1.2000000000000002</v>
      </c>
      <c r="M111" s="29">
        <f t="shared" si="86"/>
        <v>48.000000000000007</v>
      </c>
      <c r="N111" s="77">
        <f t="shared" si="87"/>
        <v>112.05000000000001</v>
      </c>
      <c r="O111" s="77"/>
      <c r="P111" s="81"/>
      <c r="Q111" s="82"/>
    </row>
    <row r="112" spans="1:17" ht="15.75">
      <c r="A112" s="21">
        <f>IF(F112&lt;&gt;"",1+MAX($A$6:A111),"")</f>
        <v>80</v>
      </c>
      <c r="B112" s="22"/>
      <c r="C112" s="59" t="s">
        <v>86</v>
      </c>
      <c r="D112" s="19">
        <v>2</v>
      </c>
      <c r="E112" s="78">
        <v>0</v>
      </c>
      <c r="F112" s="19">
        <f t="shared" si="84"/>
        <v>2</v>
      </c>
      <c r="G112" s="19" t="s">
        <v>16</v>
      </c>
      <c r="H112" s="29">
        <v>204.95</v>
      </c>
      <c r="I112" s="29">
        <f t="shared" si="90"/>
        <v>409.9</v>
      </c>
      <c r="J112" s="79">
        <v>1.8</v>
      </c>
      <c r="K112" s="41">
        <f t="shared" si="94"/>
        <v>40</v>
      </c>
      <c r="L112" s="80">
        <f t="shared" si="85"/>
        <v>3.6</v>
      </c>
      <c r="M112" s="29">
        <f t="shared" si="86"/>
        <v>144</v>
      </c>
      <c r="N112" s="77">
        <f t="shared" si="87"/>
        <v>553.9</v>
      </c>
      <c r="O112" s="77"/>
      <c r="P112" s="81"/>
      <c r="Q112" s="82"/>
    </row>
    <row r="113" spans="1:17" ht="15.75">
      <c r="A113" s="21">
        <f>IF(F113&lt;&gt;"",1+MAX($A$6:A112),"")</f>
        <v>81</v>
      </c>
      <c r="B113" s="22"/>
      <c r="C113" s="59" t="s">
        <v>87</v>
      </c>
      <c r="D113" s="19">
        <v>1</v>
      </c>
      <c r="E113" s="78">
        <v>0</v>
      </c>
      <c r="F113" s="19">
        <f t="shared" si="84"/>
        <v>1</v>
      </c>
      <c r="G113" s="19" t="s">
        <v>16</v>
      </c>
      <c r="H113" s="29">
        <v>400</v>
      </c>
      <c r="I113" s="29">
        <f t="shared" si="90"/>
        <v>400</v>
      </c>
      <c r="J113" s="79">
        <v>2</v>
      </c>
      <c r="K113" s="41">
        <f t="shared" si="94"/>
        <v>40</v>
      </c>
      <c r="L113" s="80">
        <f t="shared" si="85"/>
        <v>2</v>
      </c>
      <c r="M113" s="29">
        <f t="shared" si="86"/>
        <v>80</v>
      </c>
      <c r="N113" s="77">
        <f t="shared" si="87"/>
        <v>480</v>
      </c>
      <c r="O113" s="77"/>
      <c r="P113" s="81"/>
      <c r="Q113" s="82"/>
    </row>
    <row r="114" spans="1:17" ht="15.75">
      <c r="A114" s="21">
        <f>IF(F114&lt;&gt;"",1+MAX($A$6:A113),"")</f>
        <v>82</v>
      </c>
      <c r="B114" s="22"/>
      <c r="C114" s="59" t="s">
        <v>88</v>
      </c>
      <c r="D114" s="19">
        <v>2</v>
      </c>
      <c r="E114" s="78">
        <v>0</v>
      </c>
      <c r="F114" s="19">
        <f t="shared" si="84"/>
        <v>2</v>
      </c>
      <c r="G114" s="19" t="s">
        <v>16</v>
      </c>
      <c r="H114" s="29">
        <v>450</v>
      </c>
      <c r="I114" s="29">
        <f t="shared" si="90"/>
        <v>900</v>
      </c>
      <c r="J114" s="79">
        <v>2</v>
      </c>
      <c r="K114" s="41">
        <f t="shared" si="94"/>
        <v>40</v>
      </c>
      <c r="L114" s="80">
        <f t="shared" si="85"/>
        <v>4</v>
      </c>
      <c r="M114" s="29">
        <f t="shared" si="86"/>
        <v>160</v>
      </c>
      <c r="N114" s="77">
        <f t="shared" si="87"/>
        <v>1060</v>
      </c>
      <c r="O114" s="77"/>
      <c r="P114" s="81"/>
      <c r="Q114" s="82"/>
    </row>
    <row r="115" spans="1:17" ht="15.75">
      <c r="A115" s="21">
        <f>IF(F115&lt;&gt;"",1+MAX($A$6:A114),"")</f>
        <v>83</v>
      </c>
      <c r="B115" s="22"/>
      <c r="C115" s="59" t="s">
        <v>89</v>
      </c>
      <c r="D115" s="19">
        <v>2</v>
      </c>
      <c r="E115" s="78">
        <v>0</v>
      </c>
      <c r="F115" s="19">
        <f t="shared" si="84"/>
        <v>2</v>
      </c>
      <c r="G115" s="19" t="s">
        <v>16</v>
      </c>
      <c r="H115" s="83">
        <v>204.95</v>
      </c>
      <c r="I115" s="83">
        <f t="shared" ref="I115" si="95">F115*H115</f>
        <v>409.9</v>
      </c>
      <c r="J115" s="79">
        <v>1.8</v>
      </c>
      <c r="K115" s="41">
        <f t="shared" si="94"/>
        <v>40</v>
      </c>
      <c r="L115" s="80">
        <f t="shared" si="85"/>
        <v>3.6</v>
      </c>
      <c r="M115" s="29">
        <f t="shared" si="86"/>
        <v>144</v>
      </c>
      <c r="N115" s="77">
        <f t="shared" si="87"/>
        <v>553.9</v>
      </c>
      <c r="O115" s="77"/>
      <c r="P115" s="81"/>
      <c r="Q115" s="82"/>
    </row>
    <row r="116" spans="1:17" ht="15.75">
      <c r="A116" s="21">
        <f>IF(F116&lt;&gt;"",1+MAX($A$6:A115),"")</f>
        <v>84</v>
      </c>
      <c r="B116" s="22"/>
      <c r="C116" s="59" t="s">
        <v>90</v>
      </c>
      <c r="D116" s="19">
        <v>4</v>
      </c>
      <c r="E116" s="78">
        <v>0</v>
      </c>
      <c r="F116" s="19">
        <f t="shared" si="84"/>
        <v>4</v>
      </c>
      <c r="G116" s="19" t="s">
        <v>16</v>
      </c>
      <c r="H116" s="104">
        <v>87.5</v>
      </c>
      <c r="I116" s="104">
        <f t="shared" si="90"/>
        <v>350</v>
      </c>
      <c r="J116" s="100">
        <v>0.8</v>
      </c>
      <c r="K116" s="41">
        <f t="shared" si="94"/>
        <v>40</v>
      </c>
      <c r="L116" s="80">
        <f t="shared" si="85"/>
        <v>3.2</v>
      </c>
      <c r="M116" s="29">
        <f t="shared" si="86"/>
        <v>128</v>
      </c>
      <c r="N116" s="77">
        <f t="shared" si="87"/>
        <v>478</v>
      </c>
      <c r="O116" s="77"/>
      <c r="P116" s="81"/>
      <c r="Q116" s="82"/>
    </row>
    <row r="117" spans="1:17" ht="15.75">
      <c r="A117" s="21">
        <f>IF(F117&lt;&gt;"",1+MAX($A$6:A116),"")</f>
        <v>85</v>
      </c>
      <c r="B117" s="22"/>
      <c r="C117" s="59" t="s">
        <v>91</v>
      </c>
      <c r="D117" s="19">
        <v>3</v>
      </c>
      <c r="E117" s="78">
        <v>0</v>
      </c>
      <c r="F117" s="19">
        <f t="shared" si="84"/>
        <v>3</v>
      </c>
      <c r="G117" s="19" t="s">
        <v>16</v>
      </c>
      <c r="H117" s="29">
        <v>52</v>
      </c>
      <c r="I117" s="29">
        <f t="shared" si="90"/>
        <v>156</v>
      </c>
      <c r="J117" s="79">
        <v>1</v>
      </c>
      <c r="K117" s="41">
        <f t="shared" si="94"/>
        <v>40</v>
      </c>
      <c r="L117" s="80">
        <f t="shared" si="85"/>
        <v>3</v>
      </c>
      <c r="M117" s="29">
        <f t="shared" si="86"/>
        <v>120</v>
      </c>
      <c r="N117" s="77">
        <f t="shared" si="87"/>
        <v>276</v>
      </c>
      <c r="O117" s="77"/>
      <c r="P117" s="81"/>
      <c r="Q117" s="82"/>
    </row>
    <row r="118" spans="1:17" ht="15.75">
      <c r="A118" s="21">
        <f>IF(F118&lt;&gt;"",1+MAX($A$6:A117),"")</f>
        <v>86</v>
      </c>
      <c r="B118" s="22"/>
      <c r="C118" s="59" t="s">
        <v>83</v>
      </c>
      <c r="D118" s="19">
        <v>6</v>
      </c>
      <c r="E118" s="78">
        <v>0</v>
      </c>
      <c r="F118" s="19">
        <f t="shared" si="84"/>
        <v>6</v>
      </c>
      <c r="G118" s="19" t="s">
        <v>16</v>
      </c>
      <c r="H118" s="83">
        <v>120</v>
      </c>
      <c r="I118" s="83">
        <f t="shared" ref="I118" si="96">F118*H118</f>
        <v>720</v>
      </c>
      <c r="J118" s="79">
        <v>1.29</v>
      </c>
      <c r="K118" s="41">
        <f t="shared" si="94"/>
        <v>40</v>
      </c>
      <c r="L118" s="80">
        <f t="shared" si="85"/>
        <v>7.74</v>
      </c>
      <c r="M118" s="29">
        <f t="shared" si="86"/>
        <v>309.60000000000002</v>
      </c>
      <c r="N118" s="77">
        <f t="shared" si="87"/>
        <v>1029.5999999999999</v>
      </c>
      <c r="O118" s="77"/>
      <c r="P118" s="81"/>
      <c r="Q118" s="82"/>
    </row>
    <row r="119" spans="1:17" ht="15.75">
      <c r="A119" s="21" t="str">
        <f>IF(F119&lt;&gt;"",1+MAX($A$6:A118),"")</f>
        <v/>
      </c>
      <c r="B119" s="22"/>
      <c r="C119" s="56"/>
      <c r="D119" s="20"/>
      <c r="E119" s="78"/>
      <c r="F119" s="19"/>
      <c r="G119" s="19"/>
      <c r="H119" s="29"/>
      <c r="I119" s="29"/>
      <c r="J119" s="79"/>
      <c r="K119" s="41"/>
      <c r="L119" s="80"/>
      <c r="M119" s="29"/>
      <c r="N119" s="77"/>
      <c r="O119" s="77"/>
      <c r="P119" s="81"/>
      <c r="Q119" s="82"/>
    </row>
    <row r="120" spans="1:17" ht="15.75">
      <c r="A120" s="21" t="str">
        <f>IF(F120&lt;&gt;"",1+MAX($A$6:A119),"")</f>
        <v/>
      </c>
      <c r="B120" s="73"/>
      <c r="C120" s="57" t="s">
        <v>94</v>
      </c>
      <c r="D120" s="20"/>
      <c r="E120" s="74"/>
      <c r="F120" s="20"/>
      <c r="G120" s="19"/>
      <c r="H120" s="29"/>
      <c r="I120" s="19"/>
      <c r="J120" s="19"/>
      <c r="K120" s="41"/>
      <c r="L120" s="19"/>
      <c r="M120" s="76"/>
      <c r="N120" s="77"/>
      <c r="O120" s="77"/>
      <c r="P120" s="75"/>
    </row>
    <row r="121" spans="1:17" ht="15.75">
      <c r="A121" s="21">
        <f>IF(F121&lt;&gt;"",1+MAX($A$6:A120),"")</f>
        <v>87</v>
      </c>
      <c r="B121" s="22"/>
      <c r="C121" s="59" t="s">
        <v>95</v>
      </c>
      <c r="D121" s="19">
        <v>1</v>
      </c>
      <c r="E121" s="78">
        <v>0</v>
      </c>
      <c r="F121" s="19">
        <f t="shared" si="84"/>
        <v>1</v>
      </c>
      <c r="G121" s="19" t="s">
        <v>16</v>
      </c>
      <c r="H121" s="29">
        <v>2475</v>
      </c>
      <c r="I121" s="29">
        <f t="shared" si="90"/>
        <v>2475</v>
      </c>
      <c r="J121" s="79">
        <v>3.4780000000000002</v>
      </c>
      <c r="K121" s="41">
        <f t="shared" ref="K121:K126" si="97">$O$7</f>
        <v>40</v>
      </c>
      <c r="L121" s="80">
        <f t="shared" si="85"/>
        <v>3.4780000000000002</v>
      </c>
      <c r="M121" s="29">
        <f t="shared" si="86"/>
        <v>139.12</v>
      </c>
      <c r="N121" s="77">
        <f t="shared" si="87"/>
        <v>2614.12</v>
      </c>
      <c r="O121" s="77"/>
      <c r="P121" s="81"/>
      <c r="Q121" s="82"/>
    </row>
    <row r="122" spans="1:17" ht="15.75">
      <c r="A122" s="21">
        <f>IF(F122&lt;&gt;"",1+MAX($A$6:A121),"")</f>
        <v>88</v>
      </c>
      <c r="B122" s="22"/>
      <c r="C122" s="59" t="s">
        <v>96</v>
      </c>
      <c r="D122" s="19">
        <v>1</v>
      </c>
      <c r="E122" s="78">
        <v>0</v>
      </c>
      <c r="F122" s="19">
        <f t="shared" si="84"/>
        <v>1</v>
      </c>
      <c r="G122" s="19" t="s">
        <v>16</v>
      </c>
      <c r="H122" s="83">
        <v>2475</v>
      </c>
      <c r="I122" s="83">
        <f t="shared" ref="I122:I123" si="98">F122*H122</f>
        <v>2475</v>
      </c>
      <c r="J122" s="79">
        <v>3.4780000000000002</v>
      </c>
      <c r="K122" s="41">
        <f t="shared" si="97"/>
        <v>40</v>
      </c>
      <c r="L122" s="80">
        <f t="shared" si="85"/>
        <v>3.4780000000000002</v>
      </c>
      <c r="M122" s="29">
        <f t="shared" si="86"/>
        <v>139.12</v>
      </c>
      <c r="N122" s="77">
        <f t="shared" si="87"/>
        <v>2614.12</v>
      </c>
      <c r="O122" s="77"/>
      <c r="P122" s="81"/>
      <c r="Q122" s="82"/>
    </row>
    <row r="123" spans="1:17" ht="15.75">
      <c r="A123" s="21">
        <f>IF(F123&lt;&gt;"",1+MAX($A$6:A122),"")</f>
        <v>89</v>
      </c>
      <c r="B123" s="22"/>
      <c r="C123" s="59" t="s">
        <v>97</v>
      </c>
      <c r="D123" s="19">
        <v>1</v>
      </c>
      <c r="E123" s="78">
        <v>0</v>
      </c>
      <c r="F123" s="19">
        <f t="shared" si="84"/>
        <v>1</v>
      </c>
      <c r="G123" s="19" t="s">
        <v>16</v>
      </c>
      <c r="H123" s="83">
        <v>2475</v>
      </c>
      <c r="I123" s="83">
        <f t="shared" si="98"/>
        <v>2475</v>
      </c>
      <c r="J123" s="79">
        <v>3.4780000000000002</v>
      </c>
      <c r="K123" s="41">
        <f t="shared" si="97"/>
        <v>40</v>
      </c>
      <c r="L123" s="80">
        <f t="shared" si="85"/>
        <v>3.4780000000000002</v>
      </c>
      <c r="M123" s="29">
        <f t="shared" si="86"/>
        <v>139.12</v>
      </c>
      <c r="N123" s="77">
        <f t="shared" si="87"/>
        <v>2614.12</v>
      </c>
      <c r="O123" s="77"/>
      <c r="P123" s="81"/>
      <c r="Q123" s="82"/>
    </row>
    <row r="124" spans="1:17" ht="15.75">
      <c r="A124" s="21">
        <f>IF(F124&lt;&gt;"",1+MAX($A$6:A123),"")</f>
        <v>90</v>
      </c>
      <c r="B124" s="22"/>
      <c r="C124" s="59" t="s">
        <v>98</v>
      </c>
      <c r="D124" s="19">
        <v>1</v>
      </c>
      <c r="E124" s="78">
        <v>0</v>
      </c>
      <c r="F124" s="19">
        <f t="shared" si="84"/>
        <v>1</v>
      </c>
      <c r="G124" s="19" t="s">
        <v>16</v>
      </c>
      <c r="H124" s="29">
        <v>5800</v>
      </c>
      <c r="I124" s="29">
        <f t="shared" si="90"/>
        <v>5800</v>
      </c>
      <c r="J124" s="79">
        <v>10</v>
      </c>
      <c r="K124" s="41">
        <f t="shared" si="97"/>
        <v>40</v>
      </c>
      <c r="L124" s="80">
        <f t="shared" si="85"/>
        <v>10</v>
      </c>
      <c r="M124" s="29">
        <f t="shared" si="86"/>
        <v>400</v>
      </c>
      <c r="N124" s="77">
        <f t="shared" si="87"/>
        <v>6200</v>
      </c>
      <c r="O124" s="77"/>
      <c r="P124" s="81"/>
      <c r="Q124" s="82"/>
    </row>
    <row r="125" spans="1:17" ht="15.75">
      <c r="A125" s="21">
        <f>IF(F125&lt;&gt;"",1+MAX($A$6:A124),"")</f>
        <v>91</v>
      </c>
      <c r="B125" s="22"/>
      <c r="C125" s="59" t="s">
        <v>99</v>
      </c>
      <c r="D125" s="19">
        <v>1</v>
      </c>
      <c r="E125" s="78">
        <v>0</v>
      </c>
      <c r="F125" s="19">
        <f t="shared" si="84"/>
        <v>1</v>
      </c>
      <c r="G125" s="19" t="s">
        <v>16</v>
      </c>
      <c r="H125" s="29">
        <v>3025</v>
      </c>
      <c r="I125" s="29">
        <f t="shared" si="90"/>
        <v>3025</v>
      </c>
      <c r="J125" s="79">
        <v>4.444</v>
      </c>
      <c r="K125" s="41">
        <f t="shared" si="97"/>
        <v>40</v>
      </c>
      <c r="L125" s="80">
        <f t="shared" si="85"/>
        <v>4.444</v>
      </c>
      <c r="M125" s="29">
        <f t="shared" si="86"/>
        <v>177.76</v>
      </c>
      <c r="N125" s="77">
        <f t="shared" si="87"/>
        <v>3202.76</v>
      </c>
      <c r="O125" s="77"/>
      <c r="P125" s="81"/>
      <c r="Q125" s="82"/>
    </row>
    <row r="126" spans="1:17" ht="15.75">
      <c r="A126" s="21">
        <f>IF(F126&lt;&gt;"",1+MAX($A$6:A125),"")</f>
        <v>92</v>
      </c>
      <c r="B126" s="22"/>
      <c r="C126" s="59" t="s">
        <v>100</v>
      </c>
      <c r="D126" s="19">
        <v>1</v>
      </c>
      <c r="E126" s="78">
        <v>0</v>
      </c>
      <c r="F126" s="19">
        <f t="shared" si="84"/>
        <v>1</v>
      </c>
      <c r="G126" s="19" t="s">
        <v>16</v>
      </c>
      <c r="H126" s="29">
        <v>1300</v>
      </c>
      <c r="I126" s="29">
        <f t="shared" si="90"/>
        <v>1300</v>
      </c>
      <c r="J126" s="79">
        <v>2</v>
      </c>
      <c r="K126" s="41">
        <f t="shared" si="97"/>
        <v>40</v>
      </c>
      <c r="L126" s="80">
        <f t="shared" si="85"/>
        <v>2</v>
      </c>
      <c r="M126" s="29">
        <f t="shared" si="86"/>
        <v>80</v>
      </c>
      <c r="N126" s="77">
        <f t="shared" si="87"/>
        <v>1380</v>
      </c>
      <c r="O126" s="77"/>
      <c r="P126" s="81"/>
      <c r="Q126" s="82"/>
    </row>
    <row r="127" spans="1:17" ht="15.75">
      <c r="A127" s="21" t="str">
        <f>IF(F127&lt;&gt;"",1+MAX($A$6:A126),"")</f>
        <v/>
      </c>
      <c r="B127" s="22"/>
      <c r="C127" s="59"/>
      <c r="D127" s="19"/>
      <c r="E127" s="78"/>
      <c r="F127" s="19"/>
      <c r="G127" s="19"/>
      <c r="H127" s="29"/>
      <c r="I127" s="29"/>
      <c r="J127" s="79"/>
      <c r="K127" s="41"/>
      <c r="L127" s="80"/>
      <c r="M127" s="29"/>
      <c r="N127" s="77"/>
      <c r="O127" s="77"/>
      <c r="P127" s="81"/>
      <c r="Q127" s="82"/>
    </row>
    <row r="128" spans="1:17" ht="15.75">
      <c r="A128" s="21" t="str">
        <f>IF(F128&lt;&gt;"",1+MAX($A$6:A127),"")</f>
        <v/>
      </c>
      <c r="B128" s="105" t="s">
        <v>112</v>
      </c>
      <c r="C128" s="106"/>
      <c r="D128" s="106"/>
      <c r="E128" s="78"/>
      <c r="F128" s="19"/>
      <c r="G128" s="19"/>
      <c r="H128" s="29"/>
      <c r="I128" s="29"/>
      <c r="J128" s="79"/>
      <c r="K128" s="41"/>
      <c r="L128" s="80"/>
      <c r="M128" s="29"/>
      <c r="N128" s="77"/>
      <c r="O128" s="77"/>
      <c r="P128" s="81"/>
      <c r="Q128" s="82"/>
    </row>
    <row r="129" spans="1:17" ht="15.75">
      <c r="A129" s="21" t="str">
        <f>IF(F129&lt;&gt;"",1+MAX($A$6:A128),"")</f>
        <v/>
      </c>
      <c r="B129" s="73"/>
      <c r="C129" s="57" t="s">
        <v>42</v>
      </c>
      <c r="D129" s="20"/>
      <c r="E129" s="74"/>
      <c r="F129" s="20"/>
      <c r="G129" s="19"/>
      <c r="H129" s="29"/>
      <c r="I129" s="19"/>
      <c r="J129" s="19"/>
      <c r="K129" s="41"/>
      <c r="L129" s="19"/>
      <c r="M129" s="76"/>
      <c r="N129" s="77"/>
      <c r="O129" s="77"/>
      <c r="P129" s="75"/>
    </row>
    <row r="130" spans="1:17" ht="15.75">
      <c r="A130" s="21">
        <f>IF(F130&lt;&gt;"",1+MAX($A$6:A129),"")</f>
        <v>93</v>
      </c>
      <c r="B130" s="22"/>
      <c r="C130" s="59" t="s">
        <v>115</v>
      </c>
      <c r="D130" s="19">
        <v>345</v>
      </c>
      <c r="E130" s="78">
        <v>0.1</v>
      </c>
      <c r="F130" s="19">
        <f t="shared" ref="F130" si="99">(1+E130)*D130</f>
        <v>379.50000000000006</v>
      </c>
      <c r="G130" s="19" t="s">
        <v>15</v>
      </c>
      <c r="H130" s="29">
        <v>0.78</v>
      </c>
      <c r="I130" s="29">
        <f t="shared" ref="I130" si="100">F130*H130</f>
        <v>296.01000000000005</v>
      </c>
      <c r="J130" s="79">
        <v>0.04</v>
      </c>
      <c r="K130" s="41">
        <f t="shared" ref="K130" si="101">$O$7</f>
        <v>40</v>
      </c>
      <c r="L130" s="80">
        <f t="shared" ref="L130" si="102">J130*F130</f>
        <v>15.180000000000003</v>
      </c>
      <c r="M130" s="29">
        <f t="shared" ref="M130" si="103">L130*K130</f>
        <v>607.20000000000016</v>
      </c>
      <c r="N130" s="77">
        <f t="shared" ref="N130" si="104">M130+I130</f>
        <v>903.21000000000026</v>
      </c>
      <c r="O130" s="77"/>
      <c r="P130" s="81"/>
      <c r="Q130" s="82"/>
    </row>
    <row r="131" spans="1:17" ht="15.75">
      <c r="A131" s="21" t="str">
        <f>IF(F131&lt;&gt;"",1+MAX($A$6:A130),"")</f>
        <v/>
      </c>
      <c r="B131" s="22"/>
      <c r="C131" s="59"/>
      <c r="D131" s="19"/>
      <c r="E131" s="78"/>
      <c r="F131" s="19"/>
      <c r="G131" s="19"/>
      <c r="H131" s="29"/>
      <c r="I131" s="29"/>
      <c r="J131" s="79"/>
      <c r="K131" s="41"/>
      <c r="L131" s="80"/>
      <c r="M131" s="29"/>
      <c r="N131" s="77"/>
      <c r="O131" s="77"/>
      <c r="P131" s="81"/>
      <c r="Q131" s="82"/>
    </row>
    <row r="132" spans="1:17" ht="15.75">
      <c r="A132" s="21" t="str">
        <f>IF(F132&lt;&gt;"",1+MAX($A$6:A131),"")</f>
        <v/>
      </c>
      <c r="B132" s="73"/>
      <c r="C132" s="57" t="s">
        <v>102</v>
      </c>
      <c r="D132" s="20"/>
      <c r="E132" s="74"/>
      <c r="F132" s="20"/>
      <c r="G132" s="19"/>
      <c r="H132" s="29"/>
      <c r="I132" s="19"/>
      <c r="J132" s="19"/>
      <c r="K132" s="41"/>
      <c r="L132" s="19"/>
      <c r="M132" s="76"/>
      <c r="N132" s="77"/>
      <c r="O132" s="77"/>
      <c r="P132" s="75"/>
    </row>
    <row r="133" spans="1:17" ht="15.75">
      <c r="A133" s="21">
        <f>IF(F133&lt;&gt;"",1+MAX($A$6:A132),"")</f>
        <v>94</v>
      </c>
      <c r="B133" s="22"/>
      <c r="C133" s="59" t="s">
        <v>117</v>
      </c>
      <c r="D133" s="19">
        <v>3345</v>
      </c>
      <c r="E133" s="78">
        <v>0.1</v>
      </c>
      <c r="F133" s="19">
        <f t="shared" ref="F133" si="105">(1+E133)*D133</f>
        <v>3679.5000000000005</v>
      </c>
      <c r="G133" s="19" t="s">
        <v>15</v>
      </c>
      <c r="H133" s="29">
        <f>2*(34.5/100)+(22/100)</f>
        <v>0.90999999999999992</v>
      </c>
      <c r="I133" s="29">
        <f t="shared" ref="I133" si="106">F133*H133</f>
        <v>3348.3450000000003</v>
      </c>
      <c r="J133" s="79">
        <f>2*(1/100)+(0.8/100)</f>
        <v>2.8000000000000001E-2</v>
      </c>
      <c r="K133" s="41">
        <f t="shared" ref="K133" si="107">$O$7</f>
        <v>40</v>
      </c>
      <c r="L133" s="80">
        <f t="shared" ref="L133" si="108">J133*F133</f>
        <v>103.02600000000001</v>
      </c>
      <c r="M133" s="29">
        <f t="shared" ref="M133" si="109">L133*K133</f>
        <v>4121.0400000000009</v>
      </c>
      <c r="N133" s="77">
        <f t="shared" ref="N133" si="110">M133+I133</f>
        <v>7469.3850000000011</v>
      </c>
      <c r="O133" s="77"/>
      <c r="P133" s="81"/>
      <c r="Q133" s="82"/>
    </row>
    <row r="134" spans="1:17" ht="15.75">
      <c r="A134" s="21" t="str">
        <f>IF(F134&lt;&gt;"",1+MAX($A$6:A133),"")</f>
        <v/>
      </c>
      <c r="B134" s="22"/>
      <c r="C134" s="59"/>
      <c r="D134" s="19"/>
      <c r="E134" s="78"/>
      <c r="F134" s="19"/>
      <c r="G134" s="19"/>
      <c r="H134" s="29"/>
      <c r="I134" s="29"/>
      <c r="J134" s="79"/>
      <c r="K134" s="41"/>
      <c r="L134" s="80"/>
      <c r="M134" s="29"/>
      <c r="N134" s="77"/>
      <c r="O134" s="77"/>
      <c r="P134" s="81"/>
      <c r="Q134" s="82"/>
    </row>
    <row r="135" spans="1:17" ht="15.75">
      <c r="A135" s="21" t="str">
        <f>IF(F135&lt;&gt;"",1+MAX($A$6:A134),"")</f>
        <v/>
      </c>
      <c r="B135" s="73"/>
      <c r="C135" s="57" t="s">
        <v>19</v>
      </c>
      <c r="D135" s="20"/>
      <c r="E135" s="74"/>
      <c r="F135" s="20"/>
      <c r="G135" s="19"/>
      <c r="H135" s="29"/>
      <c r="I135" s="19"/>
      <c r="J135" s="19"/>
      <c r="K135" s="41"/>
      <c r="L135" s="19"/>
      <c r="M135" s="76"/>
      <c r="N135" s="77"/>
      <c r="O135" s="77"/>
      <c r="P135" s="75"/>
    </row>
    <row r="136" spans="1:17" ht="30">
      <c r="A136" s="21">
        <f>IF(F136&lt;&gt;"",1+MAX($A$6:A135),"")</f>
        <v>95</v>
      </c>
      <c r="B136" s="22"/>
      <c r="C136" s="56" t="s">
        <v>61</v>
      </c>
      <c r="D136" s="20">
        <v>6</v>
      </c>
      <c r="E136" s="78">
        <v>0</v>
      </c>
      <c r="F136" s="19">
        <f t="shared" si="65"/>
        <v>6</v>
      </c>
      <c r="G136" s="19" t="s">
        <v>16</v>
      </c>
      <c r="H136" s="104">
        <v>3283.4</v>
      </c>
      <c r="I136" s="104">
        <v>19700.400000000001</v>
      </c>
      <c r="J136" s="100">
        <v>12</v>
      </c>
      <c r="K136" s="41">
        <f t="shared" ref="K136" si="111">$O$7</f>
        <v>40</v>
      </c>
      <c r="L136" s="80">
        <f t="shared" si="67"/>
        <v>72</v>
      </c>
      <c r="M136" s="29">
        <f t="shared" si="68"/>
        <v>2880</v>
      </c>
      <c r="N136" s="77">
        <f t="shared" si="69"/>
        <v>22580.400000000001</v>
      </c>
      <c r="O136" s="77"/>
      <c r="P136" s="81"/>
      <c r="Q136" s="82"/>
    </row>
    <row r="137" spans="1:17" ht="15.75">
      <c r="A137" s="21" t="str">
        <f>IF(F137&lt;&gt;"",1+MAX($A$6:A136),"")</f>
        <v/>
      </c>
      <c r="B137" s="22"/>
      <c r="C137" s="59"/>
      <c r="D137" s="19"/>
      <c r="E137" s="78"/>
      <c r="F137" s="19"/>
      <c r="G137" s="19"/>
      <c r="H137" s="29"/>
      <c r="I137" s="29"/>
      <c r="J137" s="19"/>
      <c r="K137" s="41"/>
      <c r="L137" s="19"/>
      <c r="M137" s="29"/>
      <c r="N137" s="77"/>
      <c r="O137" s="77"/>
      <c r="P137" s="81"/>
      <c r="Q137" s="82"/>
    </row>
    <row r="138" spans="1:17" ht="15.75">
      <c r="A138" s="21" t="str">
        <f>IF(F138&lt;&gt;"",1+MAX($A$6:A137),"")</f>
        <v/>
      </c>
      <c r="B138" s="73"/>
      <c r="C138" s="57" t="s">
        <v>146</v>
      </c>
      <c r="D138" s="20"/>
      <c r="E138" s="74"/>
      <c r="F138" s="20"/>
      <c r="G138" s="19"/>
      <c r="H138" s="29"/>
      <c r="I138" s="19"/>
      <c r="J138" s="19"/>
      <c r="K138" s="41"/>
      <c r="L138" s="19"/>
      <c r="M138" s="76"/>
      <c r="N138" s="77"/>
      <c r="O138" s="77"/>
      <c r="P138" s="75"/>
    </row>
    <row r="139" spans="1:17" ht="15.75">
      <c r="A139" s="21">
        <f>IF(F139&lt;&gt;"",1+MAX($A$6:A138),"")</f>
        <v>96</v>
      </c>
      <c r="B139" s="22"/>
      <c r="C139" s="56" t="s">
        <v>116</v>
      </c>
      <c r="D139" s="20">
        <v>1</v>
      </c>
      <c r="E139" s="78">
        <v>0</v>
      </c>
      <c r="F139" s="19">
        <f t="shared" ref="F139" si="112">(1+E139)*D139</f>
        <v>1</v>
      </c>
      <c r="G139" s="19" t="s">
        <v>16</v>
      </c>
      <c r="H139" s="104">
        <v>59.5</v>
      </c>
      <c r="I139" s="104">
        <f t="shared" ref="I139" si="113">F139*H139</f>
        <v>59.5</v>
      </c>
      <c r="J139" s="100">
        <v>2.5</v>
      </c>
      <c r="K139" s="41">
        <f t="shared" ref="K139:K140" si="114">$O$7</f>
        <v>40</v>
      </c>
      <c r="L139" s="80">
        <f t="shared" ref="L139" si="115">J139*F139</f>
        <v>2.5</v>
      </c>
      <c r="M139" s="29">
        <f t="shared" ref="M139" si="116">L139*K139</f>
        <v>100</v>
      </c>
      <c r="N139" s="77">
        <f t="shared" ref="N139" si="117">M139+I139</f>
        <v>159.5</v>
      </c>
      <c r="O139" s="77"/>
      <c r="P139" s="81"/>
      <c r="Q139" s="82"/>
    </row>
    <row r="140" spans="1:17" ht="15.75">
      <c r="A140" s="21">
        <f>IF(F140&lt;&gt;"",1+MAX($A$6:A139),"")</f>
        <v>97</v>
      </c>
      <c r="B140" s="22"/>
      <c r="C140" s="56" t="s">
        <v>113</v>
      </c>
      <c r="D140" s="20">
        <v>1</v>
      </c>
      <c r="E140" s="78">
        <v>0</v>
      </c>
      <c r="F140" s="19">
        <f t="shared" ref="F140" si="118">(1+E140)*D140</f>
        <v>1</v>
      </c>
      <c r="G140" s="19" t="s">
        <v>16</v>
      </c>
      <c r="H140" s="29">
        <v>30.5</v>
      </c>
      <c r="I140" s="29">
        <f t="shared" ref="I140" si="119">F140*H140</f>
        <v>30.5</v>
      </c>
      <c r="J140" s="79">
        <v>1.5089999999999999</v>
      </c>
      <c r="K140" s="41">
        <f t="shared" si="114"/>
        <v>40</v>
      </c>
      <c r="L140" s="80">
        <f t="shared" ref="L140" si="120">J140*F140</f>
        <v>1.5089999999999999</v>
      </c>
      <c r="M140" s="29">
        <f t="shared" ref="M140" si="121">L140*K140</f>
        <v>60.36</v>
      </c>
      <c r="N140" s="77">
        <f t="shared" ref="N140" si="122">M140+I140</f>
        <v>90.86</v>
      </c>
      <c r="O140" s="77"/>
      <c r="P140" s="81"/>
      <c r="Q140" s="82"/>
    </row>
    <row r="141" spans="1:17" ht="16.5" thickBot="1">
      <c r="A141" s="21" t="str">
        <f>IF(F141&lt;&gt;"",1+MAX($A$6:A140),"")</f>
        <v/>
      </c>
      <c r="B141" s="22"/>
      <c r="C141" s="59"/>
      <c r="D141" s="19"/>
      <c r="E141" s="78"/>
      <c r="F141" s="19"/>
      <c r="G141" s="19"/>
      <c r="H141" s="29"/>
      <c r="I141" s="29"/>
      <c r="J141" s="19"/>
      <c r="K141" s="41"/>
      <c r="L141" s="19"/>
      <c r="M141" s="29"/>
      <c r="N141" s="77"/>
      <c r="O141" s="77"/>
      <c r="P141" s="81"/>
      <c r="Q141" s="82"/>
    </row>
    <row r="142" spans="1:17" s="68" customFormat="1" ht="16.5" thickBot="1">
      <c r="A142" s="25"/>
      <c r="B142" s="26" t="s">
        <v>35</v>
      </c>
      <c r="C142" s="55" t="s">
        <v>34</v>
      </c>
      <c r="D142" s="69"/>
      <c r="E142" s="69"/>
      <c r="F142" s="69"/>
      <c r="G142" s="69"/>
      <c r="H142" s="70"/>
      <c r="I142" s="69"/>
      <c r="J142" s="69"/>
      <c r="K142" s="71"/>
      <c r="L142" s="69"/>
      <c r="M142" s="70"/>
      <c r="N142" s="71"/>
      <c r="O142" s="71"/>
      <c r="P142" s="72">
        <f>SUM(N143:N160)</f>
        <v>1745.4940000000001</v>
      </c>
    </row>
    <row r="143" spans="1:17" ht="15.75">
      <c r="A143" s="21" t="str">
        <f>IF(F143&lt;&gt;"",1+MAX($A$6:A142),"")</f>
        <v/>
      </c>
      <c r="B143" s="73"/>
      <c r="C143" s="56"/>
      <c r="D143" s="20"/>
      <c r="E143" s="74"/>
      <c r="F143" s="20"/>
      <c r="G143" s="19"/>
      <c r="H143" s="29"/>
      <c r="I143" s="19"/>
      <c r="J143" s="19"/>
      <c r="K143" s="41"/>
      <c r="L143" s="6"/>
      <c r="M143" s="36" t="s">
        <v>20</v>
      </c>
      <c r="N143" s="50"/>
      <c r="O143" s="47">
        <v>40</v>
      </c>
      <c r="P143" s="75"/>
    </row>
    <row r="144" spans="1:17" ht="15.75">
      <c r="A144" s="21" t="str">
        <f>IF(F144&lt;&gt;"",1+MAX($A$6:A143),"")</f>
        <v/>
      </c>
      <c r="B144" s="73"/>
      <c r="C144" s="57" t="s">
        <v>42</v>
      </c>
      <c r="D144" s="20"/>
      <c r="E144" s="74"/>
      <c r="F144" s="20"/>
      <c r="G144" s="19"/>
      <c r="H144" s="29"/>
      <c r="I144" s="19"/>
      <c r="J144" s="19"/>
      <c r="K144" s="41"/>
      <c r="L144" s="19"/>
      <c r="M144" s="76"/>
      <c r="N144" s="77"/>
      <c r="O144" s="77"/>
      <c r="P144" s="75"/>
    </row>
    <row r="145" spans="1:17" ht="15.75">
      <c r="A145" s="21">
        <f>IF(F145&lt;&gt;"",1+MAX($A$6:A144),"")</f>
        <v>98</v>
      </c>
      <c r="B145" s="22"/>
      <c r="C145" s="59" t="s">
        <v>41</v>
      </c>
      <c r="D145" s="19">
        <v>356</v>
      </c>
      <c r="E145" s="78">
        <v>0.1</v>
      </c>
      <c r="F145" s="19">
        <f t="shared" ref="F145:F150" si="123">(1+E145)*D145</f>
        <v>391.6</v>
      </c>
      <c r="G145" s="19" t="s">
        <v>15</v>
      </c>
      <c r="H145" s="86">
        <v>1.07</v>
      </c>
      <c r="I145" s="86">
        <f t="shared" ref="I145" si="124">F145*H145</f>
        <v>419.01200000000006</v>
      </c>
      <c r="J145" s="87">
        <v>6.2E-2</v>
      </c>
      <c r="K145" s="41">
        <f>$O$143</f>
        <v>40</v>
      </c>
      <c r="L145" s="80">
        <f t="shared" ref="L145" si="125">J145*F145</f>
        <v>24.279200000000003</v>
      </c>
      <c r="M145" s="29">
        <f t="shared" ref="M145" si="126">L145*K145</f>
        <v>971.16800000000012</v>
      </c>
      <c r="N145" s="77">
        <f t="shared" ref="N145" si="127">M145+I145</f>
        <v>1390.1800000000003</v>
      </c>
      <c r="O145" s="77"/>
      <c r="P145" s="81"/>
      <c r="Q145" s="82"/>
    </row>
    <row r="146" spans="1:17" ht="15.75">
      <c r="A146" s="21">
        <f>IF(F146&lt;&gt;"",1+MAX($A$6:A145),"")</f>
        <v>99</v>
      </c>
      <c r="B146" s="22"/>
      <c r="C146" s="60" t="s">
        <v>29</v>
      </c>
      <c r="D146" s="19">
        <f>ROUNDUP(D145*8%,0)</f>
        <v>29</v>
      </c>
      <c r="E146" s="78">
        <v>0</v>
      </c>
      <c r="F146" s="19">
        <f t="shared" si="123"/>
        <v>29</v>
      </c>
      <c r="G146" s="19" t="s">
        <v>16</v>
      </c>
      <c r="H146" s="109"/>
      <c r="I146" s="109"/>
      <c r="J146" s="109"/>
      <c r="K146" s="109"/>
      <c r="L146" s="109"/>
      <c r="M146" s="109"/>
      <c r="N146" s="109"/>
      <c r="O146" s="77"/>
      <c r="P146" s="81"/>
      <c r="Q146" s="82"/>
    </row>
    <row r="147" spans="1:17" ht="15.75">
      <c r="A147" s="21">
        <f>IF(F147&lt;&gt;"",1+MAX($A$6:A146),"")</f>
        <v>100</v>
      </c>
      <c r="B147" s="22"/>
      <c r="C147" s="60" t="s">
        <v>30</v>
      </c>
      <c r="D147" s="19">
        <f>ROUNDUP(D145/10,0)</f>
        <v>36</v>
      </c>
      <c r="E147" s="78">
        <v>0</v>
      </c>
      <c r="F147" s="19">
        <f t="shared" si="123"/>
        <v>36</v>
      </c>
      <c r="G147" s="19" t="s">
        <v>16</v>
      </c>
      <c r="H147" s="109"/>
      <c r="I147" s="109"/>
      <c r="J147" s="109"/>
      <c r="K147" s="109"/>
      <c r="L147" s="109"/>
      <c r="M147" s="109"/>
      <c r="N147" s="109"/>
      <c r="O147" s="77"/>
      <c r="P147" s="81"/>
      <c r="Q147" s="82"/>
    </row>
    <row r="148" spans="1:17" ht="15.75">
      <c r="A148" s="21">
        <f>IF(F148&lt;&gt;"",1+MAX($A$6:A147),"")</f>
        <v>101</v>
      </c>
      <c r="B148" s="22"/>
      <c r="C148" s="60" t="s">
        <v>31</v>
      </c>
      <c r="D148" s="19">
        <f>ROUNDUP(D145/9.2,0)+ROUNDUP(D145*4%,0)</f>
        <v>54</v>
      </c>
      <c r="E148" s="78">
        <v>0</v>
      </c>
      <c r="F148" s="19">
        <f t="shared" si="123"/>
        <v>54</v>
      </c>
      <c r="G148" s="19" t="s">
        <v>16</v>
      </c>
      <c r="H148" s="109"/>
      <c r="I148" s="109"/>
      <c r="J148" s="109"/>
      <c r="K148" s="109"/>
      <c r="L148" s="109"/>
      <c r="M148" s="109"/>
      <c r="N148" s="109"/>
      <c r="O148" s="77"/>
      <c r="P148" s="81"/>
      <c r="Q148" s="82"/>
    </row>
    <row r="149" spans="1:17" ht="15.75">
      <c r="A149" s="21">
        <f>IF(F149&lt;&gt;"",1+MAX($A$6:A148),"")</f>
        <v>102</v>
      </c>
      <c r="B149" s="22"/>
      <c r="C149" s="60" t="s">
        <v>32</v>
      </c>
      <c r="D149" s="19">
        <f>ROUNDUP(D145/9.2,0)+ROUNDUP(D145*9%,0)</f>
        <v>72</v>
      </c>
      <c r="E149" s="78">
        <v>0</v>
      </c>
      <c r="F149" s="19">
        <f t="shared" si="123"/>
        <v>72</v>
      </c>
      <c r="G149" s="19" t="s">
        <v>16</v>
      </c>
      <c r="H149" s="109"/>
      <c r="I149" s="109"/>
      <c r="J149" s="109"/>
      <c r="K149" s="109"/>
      <c r="L149" s="109"/>
      <c r="M149" s="109"/>
      <c r="N149" s="109"/>
      <c r="O149" s="77"/>
      <c r="P149" s="81"/>
      <c r="Q149" s="82"/>
    </row>
    <row r="150" spans="1:17" ht="15.75">
      <c r="A150" s="21">
        <f>IF(F150&lt;&gt;"",1+MAX($A$6:A149),"")</f>
        <v>103</v>
      </c>
      <c r="B150" s="22"/>
      <c r="C150" s="60" t="s">
        <v>33</v>
      </c>
      <c r="D150" s="19">
        <f>ROUNDUP(D145/9.2,0)+ROUNDUP(D145*9%,0)</f>
        <v>72</v>
      </c>
      <c r="E150" s="78">
        <v>0</v>
      </c>
      <c r="F150" s="19">
        <f t="shared" si="123"/>
        <v>72</v>
      </c>
      <c r="G150" s="19" t="s">
        <v>16</v>
      </c>
      <c r="H150" s="109"/>
      <c r="I150" s="109"/>
      <c r="J150" s="109"/>
      <c r="K150" s="109"/>
      <c r="L150" s="109"/>
      <c r="M150" s="109"/>
      <c r="N150" s="109"/>
      <c r="O150" s="77"/>
      <c r="P150" s="81"/>
      <c r="Q150" s="82"/>
    </row>
    <row r="151" spans="1:17" ht="15.75">
      <c r="A151" s="21" t="str">
        <f>IF(F151&lt;&gt;"",1+MAX($A$6:A150),"")</f>
        <v/>
      </c>
      <c r="B151" s="22"/>
      <c r="C151" s="59"/>
      <c r="D151" s="19"/>
      <c r="E151" s="78"/>
      <c r="F151" s="19"/>
      <c r="G151" s="19"/>
      <c r="H151" s="29"/>
      <c r="I151" s="29"/>
      <c r="J151" s="79"/>
      <c r="K151" s="41"/>
      <c r="L151" s="80"/>
      <c r="M151" s="29"/>
      <c r="N151" s="77"/>
      <c r="O151" s="77"/>
      <c r="P151" s="81"/>
      <c r="Q151" s="82"/>
    </row>
    <row r="152" spans="1:17" ht="15.75">
      <c r="A152" s="21" t="str">
        <f>IF(F152&lt;&gt;"",1+MAX($A$6:A151),"")</f>
        <v/>
      </c>
      <c r="B152" s="73"/>
      <c r="C152" s="57" t="s">
        <v>43</v>
      </c>
      <c r="D152" s="20"/>
      <c r="E152" s="74"/>
      <c r="F152" s="20"/>
      <c r="G152" s="19"/>
      <c r="H152" s="29"/>
      <c r="I152" s="19"/>
      <c r="J152" s="19"/>
      <c r="K152" s="41"/>
      <c r="L152" s="19"/>
      <c r="M152" s="76"/>
      <c r="N152" s="77"/>
      <c r="O152" s="77"/>
      <c r="P152" s="75"/>
    </row>
    <row r="153" spans="1:17" ht="15.75">
      <c r="A153" s="21">
        <f>IF(F153&lt;&gt;"",1+MAX($A$6:A152),"")</f>
        <v>104</v>
      </c>
      <c r="B153" s="22"/>
      <c r="C153" s="59" t="s">
        <v>138</v>
      </c>
      <c r="D153" s="19">
        <v>155</v>
      </c>
      <c r="E153" s="78">
        <v>0.1</v>
      </c>
      <c r="F153" s="19">
        <f>(1+E153)*D153</f>
        <v>170.5</v>
      </c>
      <c r="G153" s="19" t="s">
        <v>15</v>
      </c>
      <c r="H153" s="29">
        <v>0.22</v>
      </c>
      <c r="I153" s="29">
        <f t="shared" ref="I153:I154" si="128">F153*H153</f>
        <v>37.51</v>
      </c>
      <c r="J153" s="79">
        <v>8.0000000000000002E-3</v>
      </c>
      <c r="K153" s="41">
        <f t="shared" ref="K153:K154" si="129">$O$143</f>
        <v>40</v>
      </c>
      <c r="L153" s="80">
        <f>J153*F153</f>
        <v>1.3640000000000001</v>
      </c>
      <c r="M153" s="29">
        <f>L153*K153</f>
        <v>54.56</v>
      </c>
      <c r="N153" s="77">
        <f>M153+I153</f>
        <v>92.07</v>
      </c>
      <c r="O153" s="77"/>
      <c r="P153" s="81"/>
      <c r="Q153" s="82"/>
    </row>
    <row r="154" spans="1:17" ht="15.75">
      <c r="A154" s="21">
        <f>IF(F154&lt;&gt;"",1+MAX($A$6:A153),"")</f>
        <v>105</v>
      </c>
      <c r="B154" s="22"/>
      <c r="C154" s="59" t="s">
        <v>139</v>
      </c>
      <c r="D154" s="19">
        <v>201</v>
      </c>
      <c r="E154" s="78">
        <v>0.1</v>
      </c>
      <c r="F154" s="19">
        <f>(1+E154)*D154</f>
        <v>221.10000000000002</v>
      </c>
      <c r="G154" s="19" t="s">
        <v>15</v>
      </c>
      <c r="H154" s="83">
        <v>0.22</v>
      </c>
      <c r="I154" s="29">
        <f t="shared" si="128"/>
        <v>48.642000000000003</v>
      </c>
      <c r="J154" s="79">
        <v>8.0000000000000002E-3</v>
      </c>
      <c r="K154" s="41">
        <f t="shared" si="129"/>
        <v>40</v>
      </c>
      <c r="L154" s="80">
        <f>J154*F154</f>
        <v>1.7688000000000001</v>
      </c>
      <c r="M154" s="29">
        <f>L154*K154</f>
        <v>70.75200000000001</v>
      </c>
      <c r="N154" s="77">
        <f>M154+I154</f>
        <v>119.39400000000001</v>
      </c>
      <c r="O154" s="77"/>
      <c r="P154" s="81"/>
      <c r="Q154" s="82"/>
    </row>
    <row r="155" spans="1:17" ht="15.75">
      <c r="A155" s="21" t="str">
        <f>IF(F155&lt;&gt;"",1+MAX($A$6:A154),"")</f>
        <v/>
      </c>
      <c r="B155" s="22"/>
      <c r="C155" s="59"/>
      <c r="D155" s="19"/>
      <c r="E155" s="78"/>
      <c r="F155" s="19"/>
      <c r="G155" s="19"/>
      <c r="H155" s="29"/>
      <c r="I155" s="29"/>
      <c r="J155" s="79"/>
      <c r="K155" s="41"/>
      <c r="L155" s="80"/>
      <c r="M155" s="29"/>
      <c r="N155" s="77"/>
      <c r="O155" s="77"/>
      <c r="P155" s="81"/>
      <c r="Q155" s="82"/>
    </row>
    <row r="156" spans="1:17" ht="15.75">
      <c r="A156" s="21" t="str">
        <f>IF(F156&lt;&gt;"",1+MAX($A$6:A155),"")</f>
        <v/>
      </c>
      <c r="B156" s="73"/>
      <c r="C156" s="57" t="s">
        <v>140</v>
      </c>
      <c r="D156" s="20"/>
      <c r="E156" s="74"/>
      <c r="F156" s="20"/>
      <c r="G156" s="19"/>
      <c r="H156" s="29"/>
      <c r="I156" s="19"/>
      <c r="J156" s="19"/>
      <c r="K156" s="41"/>
      <c r="L156" s="19"/>
      <c r="M156" s="76"/>
      <c r="N156" s="77"/>
      <c r="O156" s="77"/>
      <c r="P156" s="75"/>
    </row>
    <row r="157" spans="1:17" ht="15.75">
      <c r="A157" s="21">
        <f>IF(F157&lt;&gt;"",1+MAX($A$6:A156),"")</f>
        <v>106</v>
      </c>
      <c r="B157" s="22"/>
      <c r="C157" s="59" t="s">
        <v>147</v>
      </c>
      <c r="D157" s="19">
        <v>2</v>
      </c>
      <c r="E157" s="78">
        <v>0</v>
      </c>
      <c r="F157" s="19">
        <f t="shared" ref="F157:F159" si="130">(1+E157)*D157</f>
        <v>2</v>
      </c>
      <c r="G157" s="19" t="s">
        <v>16</v>
      </c>
      <c r="H157" s="86">
        <v>7.59</v>
      </c>
      <c r="I157" s="86">
        <f t="shared" ref="I157:I158" si="131">F157*H157</f>
        <v>15.18</v>
      </c>
      <c r="J157" s="87">
        <v>0.4</v>
      </c>
      <c r="K157" s="41">
        <f t="shared" ref="K157:K159" si="132">$O$143</f>
        <v>40</v>
      </c>
      <c r="L157" s="80">
        <f t="shared" ref="L157:L159" si="133">J157*F157</f>
        <v>0.8</v>
      </c>
      <c r="M157" s="29">
        <f t="shared" ref="M157:M159" si="134">L157*K157</f>
        <v>32</v>
      </c>
      <c r="N157" s="77">
        <f t="shared" ref="N157:N159" si="135">M157+I157</f>
        <v>47.18</v>
      </c>
      <c r="O157" s="77"/>
      <c r="P157" s="81"/>
      <c r="Q157" s="82"/>
    </row>
    <row r="158" spans="1:17" ht="15.75">
      <c r="A158" s="21">
        <f>IF(F158&lt;&gt;"",1+MAX($A$6:A157),"")</f>
        <v>107</v>
      </c>
      <c r="B158" s="22"/>
      <c r="C158" s="59" t="s">
        <v>80</v>
      </c>
      <c r="D158" s="19">
        <v>1</v>
      </c>
      <c r="E158" s="78">
        <v>0</v>
      </c>
      <c r="F158" s="19">
        <f t="shared" si="130"/>
        <v>1</v>
      </c>
      <c r="G158" s="19" t="s">
        <v>16</v>
      </c>
      <c r="H158" s="86">
        <v>40</v>
      </c>
      <c r="I158" s="86">
        <f t="shared" si="131"/>
        <v>40</v>
      </c>
      <c r="J158" s="87">
        <v>0.82699999999999996</v>
      </c>
      <c r="K158" s="41">
        <f t="shared" si="132"/>
        <v>40</v>
      </c>
      <c r="L158" s="80">
        <f t="shared" si="133"/>
        <v>0.82699999999999996</v>
      </c>
      <c r="M158" s="29">
        <f t="shared" si="134"/>
        <v>33.08</v>
      </c>
      <c r="N158" s="77">
        <f t="shared" si="135"/>
        <v>73.08</v>
      </c>
      <c r="O158" s="77"/>
      <c r="P158" s="81"/>
      <c r="Q158" s="82"/>
    </row>
    <row r="159" spans="1:17" ht="15.75">
      <c r="A159" s="21">
        <f>IF(F159&lt;&gt;"",1+MAX($A$6:A158),"")</f>
        <v>108</v>
      </c>
      <c r="B159" s="22"/>
      <c r="C159" s="59" t="s">
        <v>81</v>
      </c>
      <c r="D159" s="19">
        <v>1</v>
      </c>
      <c r="E159" s="78">
        <v>0</v>
      </c>
      <c r="F159" s="19">
        <f t="shared" si="130"/>
        <v>1</v>
      </c>
      <c r="G159" s="19" t="s">
        <v>16</v>
      </c>
      <c r="H159" s="86">
        <v>7.59</v>
      </c>
      <c r="I159" s="86">
        <f t="shared" ref="I159" si="136">F159*H159</f>
        <v>7.59</v>
      </c>
      <c r="J159" s="87">
        <v>0.4</v>
      </c>
      <c r="K159" s="41">
        <f t="shared" si="132"/>
        <v>40</v>
      </c>
      <c r="L159" s="80">
        <f t="shared" si="133"/>
        <v>0.4</v>
      </c>
      <c r="M159" s="29">
        <f t="shared" si="134"/>
        <v>16</v>
      </c>
      <c r="N159" s="77">
        <f t="shared" si="135"/>
        <v>23.59</v>
      </c>
      <c r="O159" s="77"/>
      <c r="P159" s="81"/>
      <c r="Q159" s="82"/>
    </row>
    <row r="160" spans="1:17" ht="15.75">
      <c r="A160" s="21" t="str">
        <f>IF(F160&lt;&gt;"",1+MAX($A$6:A159),"")</f>
        <v/>
      </c>
      <c r="B160" s="22"/>
      <c r="C160" s="59"/>
      <c r="D160" s="19"/>
      <c r="E160" s="78"/>
      <c r="F160" s="19"/>
      <c r="G160" s="19"/>
      <c r="H160" s="29"/>
      <c r="I160" s="29"/>
      <c r="J160" s="79"/>
      <c r="K160" s="41"/>
      <c r="L160" s="19"/>
      <c r="M160" s="29"/>
      <c r="N160" s="77"/>
      <c r="O160" s="77"/>
      <c r="P160" s="81"/>
      <c r="Q160" s="82"/>
    </row>
    <row r="161" spans="1:17" s="68" customFormat="1" ht="16.5" thickBot="1">
      <c r="A161" s="25"/>
      <c r="B161" s="26" t="s">
        <v>39</v>
      </c>
      <c r="C161" s="55" t="s">
        <v>40</v>
      </c>
      <c r="D161" s="69"/>
      <c r="E161" s="69"/>
      <c r="F161" s="69"/>
      <c r="G161" s="69"/>
      <c r="H161" s="70"/>
      <c r="I161" s="69"/>
      <c r="J161" s="69"/>
      <c r="K161" s="71"/>
      <c r="L161" s="69"/>
      <c r="M161" s="70"/>
      <c r="N161" s="71"/>
      <c r="O161" s="71"/>
      <c r="P161" s="72">
        <f>SUM(N162:N167)</f>
        <v>1548.15</v>
      </c>
    </row>
    <row r="162" spans="1:17" ht="15.75">
      <c r="A162" s="21" t="str">
        <f>IF(F162&lt;&gt;"",1+MAX($A$6:A161),"")</f>
        <v/>
      </c>
      <c r="B162" s="73"/>
      <c r="C162" s="56"/>
      <c r="D162" s="20"/>
      <c r="E162" s="74"/>
      <c r="F162" s="20"/>
      <c r="G162" s="19"/>
      <c r="H162" s="29"/>
      <c r="I162" s="19"/>
      <c r="J162" s="19"/>
      <c r="K162" s="41"/>
      <c r="L162" s="6"/>
      <c r="M162" s="36" t="s">
        <v>20</v>
      </c>
      <c r="N162" s="50"/>
      <c r="O162" s="47">
        <v>40</v>
      </c>
      <c r="P162" s="75"/>
    </row>
    <row r="163" spans="1:17" ht="15.75">
      <c r="A163" s="21" t="str">
        <f>IF(F163&lt;&gt;"",1+MAX($A$6:A162),"")</f>
        <v/>
      </c>
      <c r="B163" s="73"/>
      <c r="C163" s="57" t="s">
        <v>45</v>
      </c>
      <c r="D163" s="20"/>
      <c r="E163" s="74"/>
      <c r="F163" s="20"/>
      <c r="G163" s="19"/>
      <c r="H163" s="29"/>
      <c r="I163" s="19"/>
      <c r="J163" s="19"/>
      <c r="K163" s="41"/>
      <c r="L163" s="19"/>
      <c r="M163" s="76"/>
      <c r="N163" s="77"/>
      <c r="O163" s="77"/>
      <c r="P163" s="75"/>
    </row>
    <row r="164" spans="1:17" ht="15.75">
      <c r="A164" s="21">
        <f>IF(F164&lt;&gt;"",1+MAX($A$6:A163),"")</f>
        <v>109</v>
      </c>
      <c r="B164" s="22"/>
      <c r="C164" s="59" t="s">
        <v>150</v>
      </c>
      <c r="D164" s="19">
        <v>1</v>
      </c>
      <c r="E164" s="78">
        <v>0</v>
      </c>
      <c r="F164" s="19">
        <f t="shared" ref="F164:F167" si="137">(1+E164)*D164</f>
        <v>1</v>
      </c>
      <c r="G164" s="19" t="s">
        <v>16</v>
      </c>
      <c r="H164" s="29">
        <v>384.2</v>
      </c>
      <c r="I164" s="29">
        <f t="shared" ref="I164:I167" si="138">F164*H164</f>
        <v>384.2</v>
      </c>
      <c r="J164" s="79">
        <v>1</v>
      </c>
      <c r="K164" s="41">
        <f>$O$162</f>
        <v>40</v>
      </c>
      <c r="L164" s="80">
        <f t="shared" ref="L164:L167" si="139">J164*F164</f>
        <v>1</v>
      </c>
      <c r="M164" s="29">
        <f t="shared" ref="M164:M167" si="140">L164*K164</f>
        <v>40</v>
      </c>
      <c r="N164" s="77">
        <f t="shared" ref="N164:N167" si="141">M164+I164</f>
        <v>424.2</v>
      </c>
      <c r="O164" s="77"/>
      <c r="P164" s="81"/>
      <c r="Q164" s="82"/>
    </row>
    <row r="165" spans="1:17" ht="15.75">
      <c r="A165" s="21">
        <f>IF(F165&lt;&gt;"",1+MAX($A$6:A164),"")</f>
        <v>110</v>
      </c>
      <c r="B165" s="22"/>
      <c r="C165" s="59" t="s">
        <v>92</v>
      </c>
      <c r="D165" s="19">
        <v>1</v>
      </c>
      <c r="E165" s="78">
        <v>0</v>
      </c>
      <c r="F165" s="19">
        <f t="shared" si="137"/>
        <v>1</v>
      </c>
      <c r="G165" s="19" t="s">
        <v>16</v>
      </c>
      <c r="H165" s="29">
        <v>450</v>
      </c>
      <c r="I165" s="29">
        <f>F165*H165</f>
        <v>450</v>
      </c>
      <c r="J165" s="79">
        <v>2</v>
      </c>
      <c r="K165" s="41">
        <f t="shared" ref="K165:K167" si="142">$O$162</f>
        <v>40</v>
      </c>
      <c r="L165" s="80">
        <f t="shared" si="139"/>
        <v>2</v>
      </c>
      <c r="M165" s="29">
        <f t="shared" si="140"/>
        <v>80</v>
      </c>
      <c r="N165" s="77">
        <f t="shared" si="141"/>
        <v>530</v>
      </c>
      <c r="O165" s="77"/>
      <c r="P165" s="81"/>
      <c r="Q165" s="82"/>
    </row>
    <row r="166" spans="1:17" ht="15.75">
      <c r="A166" s="21">
        <f>IF(F166&lt;&gt;"",1+MAX($A$6:A165),"")</f>
        <v>111</v>
      </c>
      <c r="B166" s="22"/>
      <c r="C166" s="59" t="s">
        <v>93</v>
      </c>
      <c r="D166" s="19">
        <v>1</v>
      </c>
      <c r="E166" s="78">
        <v>0</v>
      </c>
      <c r="F166" s="19">
        <f t="shared" si="137"/>
        <v>1</v>
      </c>
      <c r="G166" s="19" t="s">
        <v>16</v>
      </c>
      <c r="H166" s="29">
        <v>123.95</v>
      </c>
      <c r="I166" s="29">
        <f t="shared" si="138"/>
        <v>123.95</v>
      </c>
      <c r="J166" s="79">
        <v>1</v>
      </c>
      <c r="K166" s="41">
        <f t="shared" si="142"/>
        <v>40</v>
      </c>
      <c r="L166" s="80">
        <f t="shared" si="139"/>
        <v>1</v>
      </c>
      <c r="M166" s="29">
        <f t="shared" si="140"/>
        <v>40</v>
      </c>
      <c r="N166" s="77">
        <f t="shared" si="141"/>
        <v>163.95</v>
      </c>
      <c r="O166" s="77"/>
      <c r="P166" s="81"/>
      <c r="Q166" s="82"/>
    </row>
    <row r="167" spans="1:17" ht="15.75">
      <c r="A167" s="21">
        <f>IF(F167&lt;&gt;"",1+MAX($A$6:A166),"")</f>
        <v>112</v>
      </c>
      <c r="B167" s="22"/>
      <c r="C167" s="59" t="s">
        <v>148</v>
      </c>
      <c r="D167" s="19">
        <v>1</v>
      </c>
      <c r="E167" s="78">
        <v>0</v>
      </c>
      <c r="F167" s="19">
        <f t="shared" si="137"/>
        <v>1</v>
      </c>
      <c r="G167" s="19" t="s">
        <v>16</v>
      </c>
      <c r="H167" s="29">
        <v>350</v>
      </c>
      <c r="I167" s="29">
        <f t="shared" si="138"/>
        <v>350</v>
      </c>
      <c r="J167" s="79">
        <v>2</v>
      </c>
      <c r="K167" s="41">
        <f t="shared" si="142"/>
        <v>40</v>
      </c>
      <c r="L167" s="80">
        <f t="shared" si="139"/>
        <v>2</v>
      </c>
      <c r="M167" s="29">
        <f t="shared" si="140"/>
        <v>80</v>
      </c>
      <c r="N167" s="77">
        <f t="shared" si="141"/>
        <v>430</v>
      </c>
      <c r="O167" s="77"/>
      <c r="P167" s="81"/>
      <c r="Q167" s="82"/>
    </row>
    <row r="168" spans="1:17" ht="15.75">
      <c r="A168" s="21" t="str">
        <f>IF(F168&lt;&gt;"",1+MAX($A$6:A167),"")</f>
        <v/>
      </c>
      <c r="B168" s="73"/>
      <c r="C168" s="61"/>
      <c r="D168" s="20"/>
      <c r="E168" s="23"/>
      <c r="F168" s="20"/>
      <c r="G168" s="24"/>
      <c r="H168" s="30"/>
      <c r="I168" s="24"/>
      <c r="J168" s="24"/>
      <c r="K168" s="42"/>
      <c r="L168" s="6"/>
      <c r="M168" s="76"/>
      <c r="N168" s="77"/>
      <c r="O168" s="77"/>
      <c r="P168" s="75"/>
    </row>
    <row r="169" spans="1:17" ht="16.5" thickBot="1">
      <c r="A169" s="18"/>
      <c r="B169" s="84"/>
      <c r="C169" s="62"/>
      <c r="D169" s="13"/>
      <c r="E169" s="14"/>
      <c r="F169" s="15"/>
      <c r="G169" s="16"/>
      <c r="H169" s="31"/>
      <c r="I169" s="16"/>
      <c r="J169" s="16"/>
      <c r="K169" s="43"/>
      <c r="L169" s="17"/>
      <c r="M169" s="37"/>
      <c r="N169" s="48"/>
      <c r="O169" s="48"/>
      <c r="P169" s="85"/>
    </row>
    <row r="170" spans="1:17" ht="16.5" thickBot="1">
      <c r="A170" s="7" t="s">
        <v>1</v>
      </c>
      <c r="B170" s="1"/>
      <c r="C170" s="1"/>
      <c r="D170" s="2"/>
      <c r="E170" s="2"/>
      <c r="F170" s="2"/>
      <c r="G170" s="3"/>
      <c r="H170" s="32"/>
      <c r="I170" s="3"/>
      <c r="J170" s="3"/>
      <c r="K170" s="44"/>
      <c r="L170" s="1"/>
      <c r="M170" s="38"/>
      <c r="N170" s="49">
        <f>SUM(N3:N169)</f>
        <v>353396.19805650006</v>
      </c>
      <c r="O170" s="49"/>
      <c r="P170" s="51">
        <f>SUM(P3:P169)</f>
        <v>353396.19805650006</v>
      </c>
    </row>
    <row r="171" spans="1:17" ht="16.5" thickBot="1">
      <c r="A171" s="7" t="s">
        <v>11</v>
      </c>
      <c r="B171" s="1"/>
      <c r="C171" s="1"/>
      <c r="D171" s="2"/>
      <c r="E171" s="2"/>
      <c r="F171" s="2"/>
      <c r="G171" s="3"/>
      <c r="H171" s="32"/>
      <c r="I171" s="3"/>
      <c r="J171" s="3"/>
      <c r="K171" s="44"/>
      <c r="L171" s="4"/>
      <c r="M171" s="35">
        <v>0.25</v>
      </c>
      <c r="N171" s="49">
        <f>M171*N170</f>
        <v>88349.049514125014</v>
      </c>
      <c r="O171" s="49"/>
      <c r="P171" s="51">
        <f>M171*P170</f>
        <v>88349.049514125014</v>
      </c>
    </row>
    <row r="172" spans="1:17" ht="16.5" thickBot="1">
      <c r="A172" s="7" t="s">
        <v>9</v>
      </c>
      <c r="B172" s="1"/>
      <c r="C172" s="1"/>
      <c r="D172" s="2"/>
      <c r="E172" s="2"/>
      <c r="F172" s="2"/>
      <c r="G172" s="3"/>
      <c r="H172" s="32"/>
      <c r="I172" s="3"/>
      <c r="J172" s="3"/>
      <c r="K172" s="44"/>
      <c r="L172" s="1"/>
      <c r="M172" s="38"/>
      <c r="N172" s="49">
        <f>SUM(N170:N171)</f>
        <v>441745.24757062504</v>
      </c>
      <c r="O172" s="49"/>
      <c r="P172" s="51">
        <f>SUM(P170:P171)</f>
        <v>441745.24757062504</v>
      </c>
    </row>
    <row r="173" spans="1:17" ht="16.5" thickBot="1">
      <c r="A173" s="8" t="s">
        <v>10</v>
      </c>
      <c r="B173" s="5"/>
      <c r="C173" s="63"/>
      <c r="D173" s="5"/>
      <c r="E173" s="5"/>
      <c r="F173" s="5"/>
      <c r="G173" s="5"/>
      <c r="H173" s="33"/>
      <c r="I173" s="5"/>
      <c r="J173" s="5"/>
      <c r="K173" s="45"/>
      <c r="L173" s="5"/>
      <c r="M173" s="33"/>
      <c r="N173" s="45"/>
      <c r="O173" s="45"/>
      <c r="P173" s="52"/>
    </row>
    <row r="174" spans="1:17" ht="15.75">
      <c r="A174" s="9" t="s">
        <v>149</v>
      </c>
      <c r="B174" s="12"/>
      <c r="C174" s="64"/>
      <c r="D174" s="12"/>
      <c r="E174" s="12"/>
      <c r="F174" s="12"/>
      <c r="G174" s="12"/>
      <c r="H174" s="34"/>
      <c r="I174" s="12"/>
      <c r="J174" s="12"/>
      <c r="K174" s="46"/>
      <c r="L174" s="12"/>
      <c r="M174" s="34"/>
      <c r="N174" s="46"/>
      <c r="O174" s="46"/>
      <c r="P174" s="53"/>
    </row>
  </sheetData>
  <sortState ref="C45:D54">
    <sortCondition ref="C45:C54"/>
  </sortState>
  <mergeCells count="10">
    <mergeCell ref="B128:D128"/>
    <mergeCell ref="B8:D8"/>
    <mergeCell ref="F2:F3"/>
    <mergeCell ref="G2:P3"/>
    <mergeCell ref="H146:N150"/>
    <mergeCell ref="H11:N15"/>
    <mergeCell ref="H29:N33"/>
    <mergeCell ref="H23:N27"/>
    <mergeCell ref="H17:N21"/>
    <mergeCell ref="A1:C4"/>
  </mergeCells>
  <printOptions horizontalCentered="1"/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Estimate FE</vt:lpstr>
      <vt:lpstr>Chart1</vt:lpstr>
      <vt:lpstr>'Estimate FE'!Print_Area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ESTIMATORR</dc:creator>
  <cp:lastModifiedBy>Raza Ahsan</cp:lastModifiedBy>
  <cp:lastPrinted>2016-08-29T17:38:21Z</cp:lastPrinted>
  <dcterms:created xsi:type="dcterms:W3CDTF">2004-05-05T14:08:18Z</dcterms:created>
  <dcterms:modified xsi:type="dcterms:W3CDTF">2022-04-08T11:06:51Z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